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528" windowWidth="15120" windowHeight="7596" activeTab="1"/>
  </bookViews>
  <sheets>
    <sheet name="ГЗ" sheetId="34" r:id="rId1"/>
    <sheet name="ПДД (2)" sheetId="29" r:id="rId2"/>
    <sheet name="221" sheetId="3" r:id="rId3"/>
    <sheet name="КВР 247 КОСГУ 223 " sheetId="37" r:id="rId4"/>
    <sheet name="223" sheetId="5" r:id="rId5"/>
    <sheet name="225 " sheetId="33" r:id="rId6"/>
    <sheet name="226" sheetId="7" r:id="rId7"/>
    <sheet name="227" sheetId="21" r:id="rId8"/>
    <sheet name="228" sheetId="24" r:id="rId9"/>
    <sheet name="290 " sheetId="30" r:id="rId10"/>
    <sheet name="310" sheetId="26" r:id="rId11"/>
    <sheet name="341" sheetId="36" r:id="rId12"/>
    <sheet name="343" sheetId="18" r:id="rId13"/>
    <sheet name="344" sheetId="23" r:id="rId14"/>
    <sheet name="345" sheetId="28" r:id="rId15"/>
    <sheet name="346" sheetId="27" r:id="rId16"/>
  </sheets>
  <definedNames>
    <definedName name="_xlnm.Print_Area" localSheetId="2">'221'!$A$1:$D$24</definedName>
    <definedName name="_xlnm.Print_Area" localSheetId="4">'223'!$A$1:$E$10</definedName>
    <definedName name="_xlnm.Print_Area" localSheetId="5">'225 '!$A$1:$E$54</definedName>
    <definedName name="_xlnm.Print_Area" localSheetId="6">'226'!$A$1:$E$50</definedName>
    <definedName name="_xlnm.Print_Area" localSheetId="7">'227'!$A$1:$E$8</definedName>
    <definedName name="_xlnm.Print_Area" localSheetId="8">'228'!$A$1:$E$9</definedName>
    <definedName name="_xlnm.Print_Area" localSheetId="9">'290 '!$A$1:$E$23</definedName>
    <definedName name="_xlnm.Print_Area" localSheetId="10">'310'!$A$1:$D$41</definedName>
    <definedName name="_xlnm.Print_Area" localSheetId="11">'341'!$B$1:$E$54</definedName>
    <definedName name="_xlnm.Print_Area" localSheetId="12">'343'!$A$1:$E$15</definedName>
    <definedName name="_xlnm.Print_Area" localSheetId="13">'344'!$A$1:$D$67</definedName>
    <definedName name="_xlnm.Print_Area" localSheetId="14">'345'!$A$1:$M$64</definedName>
    <definedName name="_xlnm.Print_Area" localSheetId="15">'346'!$A$1:$F$170</definedName>
    <definedName name="_xlnm.Print_Area" localSheetId="0">ГЗ!$B$1:$G$33</definedName>
    <definedName name="_xlnm.Print_Area" localSheetId="3">'КВР 247 КОСГУ 223 '!$A$1:$E$12</definedName>
    <definedName name="_xlnm.Print_Area" localSheetId="1">'ПДД (2)'!$B$1:$G$90</definedName>
  </definedNames>
  <calcPr calcId="145621"/>
</workbook>
</file>

<file path=xl/calcChain.xml><?xml version="1.0" encoding="utf-8"?>
<calcChain xmlns="http://schemas.openxmlformats.org/spreadsheetml/2006/main">
  <c r="D44" i="26" l="1"/>
  <c r="D9" i="26" l="1"/>
  <c r="G25" i="29" l="1"/>
  <c r="E23" i="7" l="1"/>
  <c r="D27" i="26" l="1"/>
  <c r="E6" i="5" l="1"/>
  <c r="E7" i="5"/>
  <c r="E10" i="5" s="1"/>
  <c r="E12" i="37"/>
  <c r="E10" i="37"/>
  <c r="E7" i="37"/>
  <c r="E6" i="37"/>
  <c r="E8" i="37" s="1"/>
  <c r="E5" i="37"/>
  <c r="G38" i="29"/>
  <c r="G69" i="29"/>
  <c r="E8" i="5" l="1"/>
  <c r="E43" i="7"/>
  <c r="E49" i="7" l="1"/>
  <c r="E28" i="33" l="1"/>
  <c r="E35" i="33"/>
  <c r="B11" i="23" l="1"/>
  <c r="B16" i="23"/>
  <c r="B17" i="23"/>
  <c r="B18" i="23"/>
  <c r="B21" i="23"/>
  <c r="B22" i="23"/>
  <c r="B23" i="23"/>
  <c r="B35" i="23"/>
  <c r="B56" i="23"/>
  <c r="B60" i="23"/>
  <c r="E13" i="18"/>
  <c r="F139" i="27"/>
  <c r="F136" i="27"/>
  <c r="F132" i="27"/>
  <c r="F129" i="27"/>
  <c r="F124" i="27"/>
  <c r="F122" i="27"/>
  <c r="F119" i="27"/>
  <c r="F112" i="27"/>
  <c r="F111" i="27"/>
  <c r="F109" i="27"/>
  <c r="F107" i="27"/>
  <c r="F106" i="27"/>
  <c r="F104" i="27"/>
  <c r="F102" i="27"/>
  <c r="F45" i="27"/>
  <c r="F91" i="27"/>
  <c r="E22" i="7"/>
  <c r="D26" i="26" l="1"/>
  <c r="D24" i="26"/>
  <c r="D11" i="26"/>
  <c r="D14" i="26"/>
  <c r="D28" i="26"/>
  <c r="D22" i="26"/>
  <c r="D40" i="26"/>
  <c r="D13" i="26"/>
  <c r="D21" i="26"/>
  <c r="D18" i="26" l="1"/>
  <c r="D25" i="26"/>
  <c r="E9" i="24" l="1"/>
  <c r="E7" i="24"/>
  <c r="E8" i="24"/>
  <c r="F168" i="27"/>
  <c r="F167" i="27"/>
  <c r="G11" i="29" l="1"/>
  <c r="G64" i="29"/>
  <c r="G55" i="29" s="1"/>
  <c r="E9" i="30"/>
  <c r="G22" i="34" l="1"/>
  <c r="E29" i="7" l="1"/>
  <c r="E15" i="33"/>
  <c r="E40" i="7"/>
  <c r="E42" i="7"/>
  <c r="E17" i="7"/>
  <c r="E41" i="7"/>
  <c r="C20" i="3"/>
  <c r="C21" i="3"/>
  <c r="E8" i="36" l="1"/>
  <c r="E9" i="36"/>
  <c r="E10" i="36"/>
  <c r="E11" i="36"/>
  <c r="E12" i="36"/>
  <c r="E13" i="36"/>
  <c r="E14" i="36"/>
  <c r="E15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31" i="36"/>
  <c r="E32" i="36"/>
  <c r="E33" i="36"/>
  <c r="E34" i="36"/>
  <c r="E35" i="36"/>
  <c r="E36" i="36"/>
  <c r="E37" i="36"/>
  <c r="E38" i="36"/>
  <c r="E39" i="36"/>
  <c r="E40" i="36"/>
  <c r="E41" i="36"/>
  <c r="E42" i="36"/>
  <c r="E43" i="36"/>
  <c r="E44" i="36"/>
  <c r="E45" i="36"/>
  <c r="E46" i="36"/>
  <c r="E47" i="36"/>
  <c r="E48" i="36"/>
  <c r="E49" i="36"/>
  <c r="E50" i="36"/>
  <c r="E51" i="36"/>
  <c r="E52" i="36"/>
  <c r="E53" i="36"/>
  <c r="E54" i="36" l="1"/>
  <c r="G10" i="34"/>
  <c r="G17" i="34"/>
  <c r="G15" i="34" l="1"/>
  <c r="G13" i="34" s="1"/>
  <c r="G25" i="34" s="1"/>
  <c r="E7" i="33"/>
  <c r="E9" i="33"/>
  <c r="E10" i="33"/>
  <c r="E11" i="33"/>
  <c r="E12" i="33"/>
  <c r="E13" i="33"/>
  <c r="E14" i="33"/>
  <c r="E16" i="33"/>
  <c r="E18" i="33"/>
  <c r="E19" i="33"/>
  <c r="E20" i="33"/>
  <c r="E22" i="33"/>
  <c r="E23" i="33"/>
  <c r="E24" i="33"/>
  <c r="E25" i="33"/>
  <c r="E26" i="33"/>
  <c r="E27" i="33"/>
  <c r="E29" i="33"/>
  <c r="E30" i="33"/>
  <c r="E31" i="33"/>
  <c r="E32" i="33"/>
  <c r="E33" i="33"/>
  <c r="E34" i="33"/>
  <c r="E36" i="33"/>
  <c r="E38" i="33"/>
  <c r="E39" i="33"/>
  <c r="E41" i="33"/>
  <c r="E43" i="33"/>
  <c r="E44" i="33"/>
  <c r="E47" i="33"/>
  <c r="E49" i="33"/>
  <c r="E51" i="33"/>
  <c r="E52" i="33"/>
  <c r="E45" i="33" l="1"/>
  <c r="E58" i="33"/>
  <c r="E17" i="33"/>
  <c r="E50" i="33"/>
  <c r="E53" i="33" s="1"/>
  <c r="E42" i="33"/>
  <c r="E60" i="33" s="1"/>
  <c r="E21" i="33"/>
  <c r="E54" i="33" l="1"/>
  <c r="E62" i="33" s="1"/>
  <c r="E64" i="33" s="1"/>
  <c r="G17" i="29" l="1"/>
  <c r="E18" i="30" l="1"/>
  <c r="E22" i="30" s="1"/>
  <c r="E15" i="30"/>
  <c r="E14" i="30"/>
  <c r="E13" i="30"/>
  <c r="E12" i="30"/>
  <c r="E11" i="30"/>
  <c r="E10" i="30" l="1"/>
  <c r="E17" i="30" s="1"/>
  <c r="E23" i="30" s="1"/>
  <c r="G78" i="29" l="1"/>
  <c r="G73" i="29" s="1"/>
  <c r="G46" i="29"/>
  <c r="G41" i="29"/>
  <c r="G34" i="29"/>
  <c r="G33" i="29"/>
  <c r="G32" i="29"/>
  <c r="G21" i="29"/>
  <c r="G20" i="29"/>
  <c r="G16" i="29" l="1"/>
  <c r="G35" i="29"/>
  <c r="G31" i="29"/>
  <c r="G24" i="29" s="1"/>
  <c r="G23" i="29" l="1"/>
  <c r="G14" i="29" s="1"/>
  <c r="E38" i="7"/>
  <c r="E39" i="7"/>
  <c r="H14" i="29" l="1"/>
  <c r="G82" i="29"/>
  <c r="H10" i="28"/>
  <c r="J10" i="28" s="1"/>
  <c r="M10" i="28"/>
  <c r="H11" i="28"/>
  <c r="J11" i="28" s="1"/>
  <c r="M11" i="28"/>
  <c r="H12" i="28"/>
  <c r="J12" i="28"/>
  <c r="M12" i="28"/>
  <c r="H13" i="28"/>
  <c r="J13" i="28"/>
  <c r="M13" i="28"/>
  <c r="H15" i="28"/>
  <c r="J15" i="28" s="1"/>
  <c r="M15" i="28"/>
  <c r="H16" i="28"/>
  <c r="J16" i="28" s="1"/>
  <c r="M16" i="28"/>
  <c r="H17" i="28"/>
  <c r="J17" i="28"/>
  <c r="M17" i="28"/>
  <c r="H18" i="28"/>
  <c r="J18" i="28"/>
  <c r="M18" i="28"/>
  <c r="H19" i="28"/>
  <c r="J19" i="28" s="1"/>
  <c r="M19" i="28"/>
  <c r="H20" i="28"/>
  <c r="J20" i="28" s="1"/>
  <c r="M20" i="28"/>
  <c r="H21" i="28"/>
  <c r="J21" i="28"/>
  <c r="M21" i="28"/>
  <c r="H22" i="28"/>
  <c r="J22" i="28"/>
  <c r="M22" i="28"/>
  <c r="H23" i="28"/>
  <c r="J23" i="28" s="1"/>
  <c r="M23" i="28"/>
  <c r="H25" i="28"/>
  <c r="J25" i="28" s="1"/>
  <c r="M25" i="28"/>
  <c r="H26" i="28"/>
  <c r="J26" i="28"/>
  <c r="M26" i="28"/>
  <c r="H27" i="28"/>
  <c r="J27" i="28"/>
  <c r="M27" i="28"/>
  <c r="H28" i="28"/>
  <c r="J28" i="28" s="1"/>
  <c r="M28" i="28"/>
  <c r="H30" i="28"/>
  <c r="J30" i="28" s="1"/>
  <c r="M30" i="28"/>
  <c r="H31" i="28"/>
  <c r="J31" i="28"/>
  <c r="M31" i="28"/>
  <c r="H32" i="28"/>
  <c r="J32" i="28"/>
  <c r="M32" i="28"/>
  <c r="H33" i="28"/>
  <c r="J33" i="28" s="1"/>
  <c r="M33" i="28"/>
  <c r="H34" i="28"/>
  <c r="J34" i="28" s="1"/>
  <c r="M34" i="28"/>
  <c r="H35" i="28"/>
  <c r="J35" i="28"/>
  <c r="M35" i="28"/>
  <c r="H37" i="28"/>
  <c r="J37" i="28"/>
  <c r="M37" i="28"/>
  <c r="H38" i="28"/>
  <c r="J38" i="28" s="1"/>
  <c r="M38" i="28"/>
  <c r="H39" i="28"/>
  <c r="J39" i="28" s="1"/>
  <c r="M39" i="28"/>
  <c r="H40" i="28"/>
  <c r="J40" i="28"/>
  <c r="M40" i="28"/>
  <c r="H41" i="28"/>
  <c r="J41" i="28"/>
  <c r="M41" i="28"/>
  <c r="H45" i="28"/>
  <c r="J45" i="28" s="1"/>
  <c r="M45" i="28"/>
  <c r="H46" i="28"/>
  <c r="J46" i="28" s="1"/>
  <c r="M46" i="28"/>
  <c r="H47" i="28"/>
  <c r="J47" i="28"/>
  <c r="M47" i="28"/>
  <c r="H48" i="28"/>
  <c r="J48" i="28"/>
  <c r="M48" i="28"/>
  <c r="H49" i="28"/>
  <c r="J49" i="28" s="1"/>
  <c r="M49" i="28"/>
  <c r="H50" i="28"/>
  <c r="J50" i="28" s="1"/>
  <c r="M50" i="28"/>
  <c r="H51" i="28"/>
  <c r="J51" i="28"/>
  <c r="M51" i="28"/>
  <c r="H53" i="28"/>
  <c r="J53" i="28"/>
  <c r="H54" i="28"/>
  <c r="J54" i="28" s="1"/>
  <c r="M54" i="28"/>
  <c r="H55" i="28"/>
  <c r="J55" i="28" s="1"/>
  <c r="M55" i="28"/>
  <c r="H56" i="28"/>
  <c r="J56" i="28"/>
  <c r="M56" i="28"/>
  <c r="H57" i="28"/>
  <c r="J57" i="28"/>
  <c r="M57" i="28"/>
  <c r="H58" i="28"/>
  <c r="J58" i="28" s="1"/>
  <c r="M58" i="28"/>
  <c r="H59" i="28"/>
  <c r="J59" i="28" s="1"/>
  <c r="M59" i="28"/>
  <c r="H60" i="28"/>
  <c r="J60" i="28"/>
  <c r="M60" i="28"/>
  <c r="H61" i="28"/>
  <c r="J61" i="28"/>
  <c r="M61" i="28"/>
  <c r="H62" i="28"/>
  <c r="J62" i="28" s="1"/>
  <c r="M62" i="28"/>
  <c r="H63" i="28"/>
  <c r="J63" i="28" s="1"/>
  <c r="M63" i="28"/>
  <c r="C8" i="27"/>
  <c r="C9" i="27"/>
  <c r="D9" i="27"/>
  <c r="C10" i="27"/>
  <c r="D10" i="27"/>
  <c r="C11" i="27"/>
  <c r="D11" i="27"/>
  <c r="C12" i="27"/>
  <c r="D12" i="27"/>
  <c r="C13" i="27"/>
  <c r="D13" i="27"/>
  <c r="C14" i="27"/>
  <c r="D14" i="27"/>
  <c r="C15" i="27"/>
  <c r="D15" i="27"/>
  <c r="C16" i="27"/>
  <c r="D16" i="27"/>
  <c r="C17" i="27"/>
  <c r="D17" i="27"/>
  <c r="C18" i="27"/>
  <c r="C19" i="27"/>
  <c r="D19" i="27"/>
  <c r="C20" i="27"/>
  <c r="D20" i="27"/>
  <c r="C21" i="27"/>
  <c r="D21" i="27"/>
  <c r="C22" i="27"/>
  <c r="D22" i="27"/>
  <c r="C23" i="27"/>
  <c r="D23" i="27"/>
  <c r="C24" i="27"/>
  <c r="D24" i="27"/>
  <c r="C25" i="27"/>
  <c r="D25" i="27"/>
  <c r="C26" i="27"/>
  <c r="D26" i="27"/>
  <c r="C27" i="27"/>
  <c r="D27" i="27"/>
  <c r="C28" i="27"/>
  <c r="D28" i="27"/>
  <c r="C29" i="27"/>
  <c r="D29" i="27"/>
  <c r="C30" i="27"/>
  <c r="D30" i="27"/>
  <c r="C31" i="27"/>
  <c r="D31" i="27"/>
  <c r="C32" i="27"/>
  <c r="D32" i="27"/>
  <c r="C33" i="27"/>
  <c r="D33" i="27"/>
  <c r="C34" i="27"/>
  <c r="D34" i="27"/>
  <c r="C35" i="27"/>
  <c r="D35" i="27"/>
  <c r="C36" i="27"/>
  <c r="D36" i="27"/>
  <c r="C37" i="27"/>
  <c r="D37" i="27"/>
  <c r="C38" i="27"/>
  <c r="D38" i="27"/>
  <c r="D39" i="27"/>
  <c r="C40" i="27"/>
  <c r="D40" i="27"/>
  <c r="C41" i="27"/>
  <c r="D41" i="27"/>
  <c r="C42" i="27"/>
  <c r="D42" i="27"/>
  <c r="C43" i="27"/>
  <c r="D43" i="27"/>
  <c r="C44" i="27"/>
  <c r="D44" i="27"/>
  <c r="C46" i="27"/>
  <c r="D46" i="27"/>
  <c r="C47" i="27"/>
  <c r="D47" i="27"/>
  <c r="C48" i="27"/>
  <c r="D48" i="27"/>
  <c r="C49" i="27"/>
  <c r="D49" i="27"/>
  <c r="C50" i="27"/>
  <c r="D50" i="27"/>
  <c r="C51" i="27"/>
  <c r="D51" i="27"/>
  <c r="C52" i="27"/>
  <c r="D52" i="27"/>
  <c r="C53" i="27"/>
  <c r="D53" i="27"/>
  <c r="C54" i="27"/>
  <c r="D54" i="27"/>
  <c r="D55" i="27"/>
  <c r="C56" i="27"/>
  <c r="D56" i="27"/>
  <c r="C57" i="27"/>
  <c r="D57" i="27"/>
  <c r="C58" i="27"/>
  <c r="D58" i="27"/>
  <c r="C59" i="27"/>
  <c r="D59" i="27"/>
  <c r="C60" i="27"/>
  <c r="D60" i="27"/>
  <c r="C61" i="27"/>
  <c r="D61" i="27"/>
  <c r="D62" i="27"/>
  <c r="C63" i="27"/>
  <c r="D63" i="27"/>
  <c r="C64" i="27"/>
  <c r="D64" i="27"/>
  <c r="C65" i="27"/>
  <c r="D65" i="27"/>
  <c r="C66" i="27"/>
  <c r="D66" i="27"/>
  <c r="C67" i="27"/>
  <c r="D67" i="27"/>
  <c r="C68" i="27"/>
  <c r="D68" i="27"/>
  <c r="C69" i="27"/>
  <c r="D69" i="27"/>
  <c r="C70" i="27"/>
  <c r="D70" i="27"/>
  <c r="C71" i="27"/>
  <c r="D71" i="27"/>
  <c r="C72" i="27"/>
  <c r="D72" i="27"/>
  <c r="C73" i="27"/>
  <c r="D73" i="27"/>
  <c r="C74" i="27"/>
  <c r="D74" i="27"/>
  <c r="C75" i="27"/>
  <c r="D75" i="27"/>
  <c r="C76" i="27"/>
  <c r="D76" i="27"/>
  <c r="C77" i="27"/>
  <c r="D77" i="27"/>
  <c r="C78" i="27"/>
  <c r="D78" i="27"/>
  <c r="C79" i="27"/>
  <c r="D79" i="27"/>
  <c r="C80" i="27"/>
  <c r="D80" i="27"/>
  <c r="C81" i="27"/>
  <c r="D81" i="27"/>
  <c r="C82" i="27"/>
  <c r="D82" i="27"/>
  <c r="C83" i="27"/>
  <c r="D83" i="27"/>
  <c r="C84" i="27"/>
  <c r="D84" i="27"/>
  <c r="C85" i="27"/>
  <c r="D85" i="27"/>
  <c r="C86" i="27"/>
  <c r="D86" i="27"/>
  <c r="C87" i="27"/>
  <c r="D87" i="27"/>
  <c r="C88" i="27"/>
  <c r="D88" i="27"/>
  <c r="C89" i="27"/>
  <c r="D89" i="27"/>
  <c r="C90" i="27"/>
  <c r="D90" i="27"/>
  <c r="C92" i="27"/>
  <c r="D92" i="27"/>
  <c r="C93" i="27"/>
  <c r="D93" i="27"/>
  <c r="C94" i="27"/>
  <c r="D94" i="27"/>
  <c r="C95" i="27"/>
  <c r="D95" i="27"/>
  <c r="C96" i="27"/>
  <c r="D96" i="27"/>
  <c r="C97" i="27"/>
  <c r="D97" i="27"/>
  <c r="C98" i="27"/>
  <c r="D98" i="27"/>
  <c r="C99" i="27"/>
  <c r="D99" i="27"/>
  <c r="C100" i="27"/>
  <c r="D100" i="27"/>
  <c r="C101" i="27"/>
  <c r="D101" i="27"/>
  <c r="C102" i="27"/>
  <c r="C103" i="27"/>
  <c r="D103" i="27"/>
  <c r="C104" i="27"/>
  <c r="C105" i="27"/>
  <c r="D105" i="27"/>
  <c r="C106" i="27"/>
  <c r="C107" i="27"/>
  <c r="C108" i="27"/>
  <c r="D108" i="27"/>
  <c r="C109" i="27"/>
  <c r="C110" i="27"/>
  <c r="D110" i="27"/>
  <c r="C111" i="27"/>
  <c r="C112" i="27"/>
  <c r="C113" i="27"/>
  <c r="D113" i="27"/>
  <c r="C114" i="27"/>
  <c r="D114" i="27"/>
  <c r="C115" i="27"/>
  <c r="D115" i="27"/>
  <c r="C116" i="27"/>
  <c r="D116" i="27"/>
  <c r="C117" i="27"/>
  <c r="D117" i="27"/>
  <c r="C118" i="27"/>
  <c r="D118" i="27"/>
  <c r="C119" i="27"/>
  <c r="C120" i="27"/>
  <c r="D120" i="27"/>
  <c r="C121" i="27"/>
  <c r="D121" i="27"/>
  <c r="C122" i="27"/>
  <c r="C123" i="27"/>
  <c r="D123" i="27"/>
  <c r="C124" i="27"/>
  <c r="C125" i="27"/>
  <c r="D125" i="27"/>
  <c r="C127" i="27"/>
  <c r="D127" i="27"/>
  <c r="C128" i="27"/>
  <c r="D128" i="27"/>
  <c r="C129" i="27"/>
  <c r="C130" i="27"/>
  <c r="D130" i="27"/>
  <c r="C131" i="27"/>
  <c r="D131" i="27"/>
  <c r="C132" i="27"/>
  <c r="C133" i="27"/>
  <c r="D133" i="27"/>
  <c r="C134" i="27"/>
  <c r="D134" i="27"/>
  <c r="C135" i="27"/>
  <c r="D135" i="27"/>
  <c r="C136" i="27"/>
  <c r="C137" i="27"/>
  <c r="D137" i="27"/>
  <c r="C138" i="27"/>
  <c r="D138" i="27"/>
  <c r="C139" i="27"/>
  <c r="C140" i="27"/>
  <c r="D140" i="27"/>
  <c r="C141" i="27"/>
  <c r="D141" i="27"/>
  <c r="C142" i="27"/>
  <c r="D142" i="27"/>
  <c r="C143" i="27"/>
  <c r="D143" i="27"/>
  <c r="C144" i="27"/>
  <c r="D144" i="27"/>
  <c r="C145" i="27"/>
  <c r="D145" i="27"/>
  <c r="C146" i="27"/>
  <c r="D146" i="27"/>
  <c r="C147" i="27"/>
  <c r="D147" i="27"/>
  <c r="C148" i="27"/>
  <c r="D148" i="27"/>
  <c r="C149" i="27"/>
  <c r="D149" i="27"/>
  <c r="C150" i="27"/>
  <c r="D150" i="27"/>
  <c r="C151" i="27"/>
  <c r="D151" i="27"/>
  <c r="C152" i="27"/>
  <c r="C153" i="27"/>
  <c r="D153" i="27"/>
  <c r="C154" i="27"/>
  <c r="D154" i="27"/>
  <c r="C155" i="27"/>
  <c r="D155" i="27"/>
  <c r="C156" i="27"/>
  <c r="D156" i="27"/>
  <c r="C157" i="27"/>
  <c r="D157" i="27"/>
  <c r="C158" i="27"/>
  <c r="D158" i="27"/>
  <c r="C159" i="27"/>
  <c r="D159" i="27"/>
  <c r="C160" i="27"/>
  <c r="D160" i="27"/>
  <c r="C161" i="27"/>
  <c r="D161" i="27"/>
  <c r="C162" i="27"/>
  <c r="D162" i="27"/>
  <c r="C163" i="27"/>
  <c r="D163" i="27"/>
  <c r="C164" i="27"/>
  <c r="D164" i="27"/>
  <c r="F169" i="27"/>
  <c r="D12" i="26"/>
  <c r="D32" i="26"/>
  <c r="D31" i="26"/>
  <c r="D39" i="26"/>
  <c r="D30" i="26"/>
  <c r="D29" i="26"/>
  <c r="D33" i="26"/>
  <c r="D10" i="26"/>
  <c r="D8" i="26"/>
  <c r="D20" i="26"/>
  <c r="D36" i="26"/>
  <c r="D37" i="26"/>
  <c r="D35" i="26"/>
  <c r="D23" i="26"/>
  <c r="D19" i="26"/>
  <c r="D15" i="26"/>
  <c r="D16" i="26"/>
  <c r="D17" i="26"/>
  <c r="D38" i="26"/>
  <c r="D34" i="26"/>
  <c r="M64" i="28" l="1"/>
  <c r="D41" i="26"/>
  <c r="E8" i="18"/>
  <c r="E9" i="18"/>
  <c r="E10" i="18"/>
  <c r="E11" i="18"/>
  <c r="E7" i="18"/>
  <c r="E19" i="7" l="1"/>
  <c r="B66" i="23" l="1"/>
  <c r="B65" i="23"/>
  <c r="B64" i="23"/>
  <c r="B63" i="23"/>
  <c r="B62" i="23"/>
  <c r="B61" i="23"/>
  <c r="B59" i="23"/>
  <c r="B58" i="23"/>
  <c r="B57" i="23"/>
  <c r="B55" i="23"/>
  <c r="B54" i="23"/>
  <c r="B53" i="23"/>
  <c r="B52" i="23"/>
  <c r="B51" i="23"/>
  <c r="B50" i="23"/>
  <c r="B49" i="23"/>
  <c r="B48" i="23"/>
  <c r="B46" i="23"/>
  <c r="B45" i="23"/>
  <c r="B44" i="23"/>
  <c r="B43" i="23"/>
  <c r="B42" i="23"/>
  <c r="B41" i="23"/>
  <c r="B40" i="23"/>
  <c r="B39" i="23"/>
  <c r="B38" i="23"/>
  <c r="B37" i="23"/>
  <c r="B36" i="23"/>
  <c r="B34" i="23"/>
  <c r="B33" i="23"/>
  <c r="B32" i="23"/>
  <c r="B31" i="23"/>
  <c r="B30" i="23"/>
  <c r="B29" i="23"/>
  <c r="B28" i="23"/>
  <c r="B27" i="23"/>
  <c r="B26" i="23"/>
  <c r="B25" i="23"/>
  <c r="B24" i="23"/>
  <c r="B20" i="23"/>
  <c r="B19" i="23"/>
  <c r="B15" i="23"/>
  <c r="B14" i="23"/>
  <c r="B13" i="23"/>
  <c r="B12" i="23"/>
  <c r="B9" i="23"/>
  <c r="B8" i="23"/>
  <c r="B7" i="23"/>
  <c r="E7" i="21" l="1"/>
  <c r="E8" i="21" s="1"/>
  <c r="E14" i="18" l="1"/>
  <c r="E15" i="18" l="1"/>
  <c r="E13" i="7" l="1"/>
  <c r="E24" i="7" l="1"/>
  <c r="E16" i="7" l="1"/>
  <c r="E46" i="7" l="1"/>
  <c r="E45" i="7"/>
  <c r="E37" i="7"/>
  <c r="E36" i="7"/>
  <c r="E35" i="7"/>
  <c r="E32" i="7"/>
  <c r="E31" i="7"/>
  <c r="E30" i="7"/>
  <c r="E28" i="7"/>
  <c r="E27" i="7"/>
  <c r="E26" i="7"/>
  <c r="E21" i="7"/>
  <c r="E20" i="7"/>
  <c r="E18" i="7"/>
  <c r="E15" i="7"/>
  <c r="E14" i="7"/>
  <c r="E11" i="7"/>
  <c r="E10" i="7"/>
  <c r="E9" i="7"/>
  <c r="E8" i="7"/>
  <c r="E12" i="7" l="1"/>
  <c r="E25" i="7"/>
  <c r="E7" i="7"/>
  <c r="E33" i="7"/>
  <c r="E50" i="7" s="1"/>
  <c r="C19" i="3" l="1"/>
  <c r="D13" i="3"/>
  <c r="C22" i="3" l="1"/>
  <c r="C24" i="3" s="1"/>
  <c r="D67" i="23" l="1"/>
  <c r="F165" i="27"/>
  <c r="F170" i="27" s="1"/>
  <c r="D8" i="27"/>
</calcChain>
</file>

<file path=xl/sharedStrings.xml><?xml version="1.0" encoding="utf-8"?>
<sst xmlns="http://schemas.openxmlformats.org/spreadsheetml/2006/main" count="808" uniqueCount="665">
  <si>
    <t>Государственное бюджетное учреждение социального обслуживания Ярославской области Красноперекопский психоневрологический интернат</t>
  </si>
  <si>
    <t>Сумма (рублей)</t>
  </si>
  <si>
    <t>Расчет (тариф * количество единиц)</t>
  </si>
  <si>
    <t>на выполнение государственного задания</t>
  </si>
  <si>
    <t>внештатный фонд с начислениями (покос травы)</t>
  </si>
  <si>
    <t>измерение сопротивления изоляции электропроводки</t>
  </si>
  <si>
    <t>замена сертификата ключа подписи</t>
  </si>
  <si>
    <t>услуги по вневедомственной охране</t>
  </si>
  <si>
    <t>профессиональная гигиеническая подготовка и аттестация работников</t>
  </si>
  <si>
    <t>техническая поддержка по настройке и эксплуатации программных продуктов</t>
  </si>
  <si>
    <t>обязательное страхование гражданской ответственности владельцев транспортных средств</t>
  </si>
  <si>
    <t>медицинский осмотр работников</t>
  </si>
  <si>
    <t>продление лицензии на антивирусную программу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</si>
  <si>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</si>
  <si>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</si>
  <si>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масло</t>
  </si>
  <si>
    <t>зарядка огнетушителей</t>
  </si>
  <si>
    <t>бактериологические исследования воздуха в помещениях, перевязочного материала и инструментов:</t>
  </si>
  <si>
    <t xml:space="preserve">  контроль работы паровых стерилизаторов, дезкамеры, автоклава</t>
  </si>
  <si>
    <t xml:space="preserve">  смывы на стерильность</t>
  </si>
  <si>
    <t>услуги по проведению производственного контроля и баканализов:</t>
  </si>
  <si>
    <t>Директор</t>
  </si>
  <si>
    <t>Филиппова М.В.</t>
  </si>
  <si>
    <t>Главный бухгалтер</t>
  </si>
  <si>
    <t>ремонт автотранспорта</t>
  </si>
  <si>
    <t>работы по уборке снега и наледи с крыш зданий интерната</t>
  </si>
  <si>
    <t>ритуальные услуги</t>
  </si>
  <si>
    <t>термометр медицинский</t>
  </si>
  <si>
    <t xml:space="preserve">испытание на водоотдачу пожарного водопровода (гидрокранов и рукавов), наружных гидрокранов </t>
  </si>
  <si>
    <t xml:space="preserve">  забор воздуха помещений на ОМЧ</t>
  </si>
  <si>
    <t xml:space="preserve">  забор воздуха помещений на стафилококки</t>
  </si>
  <si>
    <t xml:space="preserve">  утилизация медотходов до 30 л</t>
  </si>
  <si>
    <t xml:space="preserve">  утилизация б/у игл</t>
  </si>
  <si>
    <t xml:space="preserve">  утилизация лекарственных средств </t>
  </si>
  <si>
    <t>ника-хлор №300</t>
  </si>
  <si>
    <t>Наименование показателя</t>
  </si>
  <si>
    <t>строки</t>
  </si>
  <si>
    <t>Остаток средств на начало года</t>
  </si>
  <si>
    <t>вид</t>
  </si>
  <si>
    <t>расходов</t>
  </si>
  <si>
    <t>КОСГУ</t>
  </si>
  <si>
    <t>Выплаты по расходам - всего, в том числе:</t>
  </si>
  <si>
    <t>Услуги связи</t>
  </si>
  <si>
    <t>код</t>
  </si>
  <si>
    <t xml:space="preserve">Поступления от доходов - всего, в том числе:  </t>
  </si>
  <si>
    <t>дезинфекция, дератизация</t>
  </si>
  <si>
    <t>акарицидная обработка</t>
  </si>
  <si>
    <t>опрессовка системы отопления и промывка системы горячего водоснабжения</t>
  </si>
  <si>
    <t>шиномонтаж, балансировка</t>
  </si>
  <si>
    <t xml:space="preserve">испытание электроинструмента </t>
  </si>
  <si>
    <t>испытание защитных средств (перчатки)</t>
  </si>
  <si>
    <t>Кол-во телефонных номеров</t>
  </si>
  <si>
    <t>Средняя плата в месяц</t>
  </si>
  <si>
    <t>Абонентское обслуживание телефонной точки</t>
  </si>
  <si>
    <t>Кол-во</t>
  </si>
  <si>
    <t>Стоимость</t>
  </si>
  <si>
    <t xml:space="preserve">Стоимость услуги в месяц </t>
  </si>
  <si>
    <t>Информационно-техническое обеспечение сети Интернет</t>
  </si>
  <si>
    <t>Размер потребления ресурсов</t>
  </si>
  <si>
    <t>Тариф (с учетом НДС), руб.</t>
  </si>
  <si>
    <t>x</t>
  </si>
  <si>
    <t>х</t>
  </si>
  <si>
    <t>№ п/п</t>
  </si>
  <si>
    <t>Наименование расхода</t>
  </si>
  <si>
    <t>Количество работ (услуг)</t>
  </si>
  <si>
    <t>Стоимость услуги</t>
  </si>
  <si>
    <t>государственная поверка оборудования:</t>
  </si>
  <si>
    <t>медицинского</t>
  </si>
  <si>
    <t>весового</t>
  </si>
  <si>
    <t>манометров</t>
  </si>
  <si>
    <t>вычислительной техники</t>
  </si>
  <si>
    <t>техобслуживание:</t>
  </si>
  <si>
    <t>медицинского оборудования</t>
  </si>
  <si>
    <t>охранной сигнализации</t>
  </si>
  <si>
    <t>оборудования прачечной</t>
  </si>
  <si>
    <t>оборудования пищеблока</t>
  </si>
  <si>
    <t>тепловых узлов</t>
  </si>
  <si>
    <t>системы видеонаблюдения</t>
  </si>
  <si>
    <t>легковые</t>
  </si>
  <si>
    <t>радиоканальной системы передачи извещений о пожаре "Стрелец-Мониторинг"</t>
  </si>
  <si>
    <t>автоматической системы пожарной сигнализации и системы оповещения и управления эвакуацией людей</t>
  </si>
  <si>
    <t>автобус, грузопассажирские</t>
  </si>
  <si>
    <t>итого</t>
  </si>
  <si>
    <t>утилизация отходов:</t>
  </si>
  <si>
    <t>люминесцентных ламп</t>
  </si>
  <si>
    <t>повышение квалификации персонала:</t>
  </si>
  <si>
    <t>воспитатель</t>
  </si>
  <si>
    <t>медсестра</t>
  </si>
  <si>
    <t>информационные услуги:</t>
  </si>
  <si>
    <t>Коммунальные услуги</t>
  </si>
  <si>
    <t>Приложение № 2</t>
  </si>
  <si>
    <t>Услуги доступа к системе Omnicomm (глонасс)</t>
  </si>
  <si>
    <t>Приложение № 4</t>
  </si>
  <si>
    <t xml:space="preserve">   ВАЗ-2114</t>
  </si>
  <si>
    <t xml:space="preserve">   ГАЗ-32213</t>
  </si>
  <si>
    <t xml:space="preserve">   ГАЗ-2705</t>
  </si>
  <si>
    <t xml:space="preserve">   RENAULT DUSTER</t>
  </si>
  <si>
    <t>Всего</t>
  </si>
  <si>
    <t>Итого</t>
  </si>
  <si>
    <t>КВР</t>
  </si>
  <si>
    <t>Облагаемая налоговая база</t>
  </si>
  <si>
    <t>Ставка налога (%)</t>
  </si>
  <si>
    <t>всего</t>
  </si>
  <si>
    <t>кол-во</t>
  </si>
  <si>
    <t>цена</t>
  </si>
  <si>
    <t>печать ежеквартального журнала "Жизнь удивительна!" о культурно-досуговых и спортивных мероприятиях с участием клиентов учреждения</t>
  </si>
  <si>
    <t>печать фотографий, иллюстрирующих участие клиентов в культурно-массовых и спортивных мероприятиях</t>
  </si>
  <si>
    <t>авансепт спрей 0,5л</t>
  </si>
  <si>
    <t>азопирам-СК</t>
  </si>
  <si>
    <t>алмазные боры Дентекс №3</t>
  </si>
  <si>
    <t>аэрон 0,25л спрей</t>
  </si>
  <si>
    <t>бумага для ЭКГ</t>
  </si>
  <si>
    <t>гвозди</t>
  </si>
  <si>
    <t>девит АРС 3гр</t>
  </si>
  <si>
    <t>дентин-паста 50,0</t>
  </si>
  <si>
    <t>доска обрезная</t>
  </si>
  <si>
    <t>дюльбак 5,0 л</t>
  </si>
  <si>
    <t>иглы дентальные (0,3х12) №100</t>
  </si>
  <si>
    <t>кабель ВВГ 3х1,5</t>
  </si>
  <si>
    <t>колер "бирюза"</t>
  </si>
  <si>
    <t>колер "желтый"</t>
  </si>
  <si>
    <t>колер "зеленый"</t>
  </si>
  <si>
    <t>колер "золотисто-желтый"</t>
  </si>
  <si>
    <t>колер "коричневый" 0,1л</t>
  </si>
  <si>
    <t>колер "красный"</t>
  </si>
  <si>
    <t>колер "лимонный"</t>
  </si>
  <si>
    <t>колер "мандарин"</t>
  </si>
  <si>
    <t>колер "оранжевый"</t>
  </si>
  <si>
    <t>колер "синий"</t>
  </si>
  <si>
    <t>колер "темно-красный"</t>
  </si>
  <si>
    <t>колер "терракота"</t>
  </si>
  <si>
    <t>колер "травяной"</t>
  </si>
  <si>
    <t>колер "фиолетовый"</t>
  </si>
  <si>
    <t>колер "черный"</t>
  </si>
  <si>
    <t>колер "шоколад"</t>
  </si>
  <si>
    <t>кран маевского</t>
  </si>
  <si>
    <t>кран шаровый 1 г/г</t>
  </si>
  <si>
    <t>кран шаровый 1/2 г/г</t>
  </si>
  <si>
    <t>кран шаровый 25 РР</t>
  </si>
  <si>
    <t>кран шаровый 3/4  г/г</t>
  </si>
  <si>
    <t>кран шаровый 3/4 г/ш бабочка</t>
  </si>
  <si>
    <t>краска акриловая белая фасадная</t>
  </si>
  <si>
    <t>краска д/асфальта желтая</t>
  </si>
  <si>
    <t>лист оцинкованный 0,55мм</t>
  </si>
  <si>
    <t>маска медицинская одноразовая 3-слойная</t>
  </si>
  <si>
    <t>маска-экран защитная</t>
  </si>
  <si>
    <t xml:space="preserve">матрицы контурные секционные без  выступа </t>
  </si>
  <si>
    <t>медея 0,75 л</t>
  </si>
  <si>
    <t>микроаппликатор №100</t>
  </si>
  <si>
    <t>муфта 110-63</t>
  </si>
  <si>
    <t>муфта 32</t>
  </si>
  <si>
    <t>муфта 40</t>
  </si>
  <si>
    <t>муфта 63</t>
  </si>
  <si>
    <t>муфта 90-63</t>
  </si>
  <si>
    <t>муфта комбинир. ВР 32х3/4</t>
  </si>
  <si>
    <t>муфта комбинированная ВР 20-1/2</t>
  </si>
  <si>
    <t>муфта комбинированная ВР 25-3/4 разъемная</t>
  </si>
  <si>
    <t>муфта чугунная короткая 15 ГОСТ 8954-75</t>
  </si>
  <si>
    <t>мыло "ультра софт" 1,0л</t>
  </si>
  <si>
    <t>ника-амицид 1,0л</t>
  </si>
  <si>
    <t>ника-изосептик 0,75</t>
  </si>
  <si>
    <t>ника-изосептик 1,0л</t>
  </si>
  <si>
    <t>ника-полицид 1,0л</t>
  </si>
  <si>
    <t>пакет д/мед. отходов кл. А белый</t>
  </si>
  <si>
    <t>пакет д/мед. отходов кл. Б желтый</t>
  </si>
  <si>
    <t>перчатки анатомические "Dermagrip"</t>
  </si>
  <si>
    <t>перчатки медицинские нестерильные</t>
  </si>
  <si>
    <t>пленка с фтором</t>
  </si>
  <si>
    <t>прайм-дент хим.отвеждаемая паста</t>
  </si>
  <si>
    <t>пульпоэкстракторы №100</t>
  </si>
  <si>
    <t>салфетка дезинфицирующая №60</t>
  </si>
  <si>
    <t>салфетка дезинфицирующая для инъекций №100</t>
  </si>
  <si>
    <t>салфетка спиртовая №100</t>
  </si>
  <si>
    <t>саморез (кг)</t>
  </si>
  <si>
    <t>смесь сухая М-150</t>
  </si>
  <si>
    <t>ср-во дезинфицирующее "Поликлин" 5,0л</t>
  </si>
  <si>
    <t>тест для определения беременности</t>
  </si>
  <si>
    <t>тест полоски "Алкотест"</t>
  </si>
  <si>
    <t>тест полоски для исследования мочи №100</t>
  </si>
  <si>
    <t>тройник 25</t>
  </si>
  <si>
    <t>тройник 32</t>
  </si>
  <si>
    <t>тройник 50х20х50</t>
  </si>
  <si>
    <t>тройник 63</t>
  </si>
  <si>
    <t>тройник 90</t>
  </si>
  <si>
    <t>угол 50*50*4мм</t>
  </si>
  <si>
    <t>фанера 1525*1525*10мм</t>
  </si>
  <si>
    <t>шапочка-колпак медицинская</t>
  </si>
  <si>
    <t>шпатель деревянный стерильный №100</t>
  </si>
  <si>
    <t>шприц 1,0 мл</t>
  </si>
  <si>
    <t>шприц 10,0 мл</t>
  </si>
  <si>
    <t>шприц 2,0 мл</t>
  </si>
  <si>
    <t>шприц 20,0 мл</t>
  </si>
  <si>
    <t>шприц 3,0 мл</t>
  </si>
  <si>
    <t>шприц 5,0 мл</t>
  </si>
  <si>
    <t>штукатурка гипсовая</t>
  </si>
  <si>
    <t>эмаль ПФ-115 "белая"</t>
  </si>
  <si>
    <t>эмаль ПФ-115 "бирюза"</t>
  </si>
  <si>
    <t>эмаль ПФ-115 "голубая"</t>
  </si>
  <si>
    <t>эмаль ПФ-115 "желтая"</t>
  </si>
  <si>
    <t>эмаль ПФ-115 "зеленая"</t>
  </si>
  <si>
    <t>эмаль ПФ-115 "красная"</t>
  </si>
  <si>
    <t>эмаль ПФ-115 "лимонная"</t>
  </si>
  <si>
    <t>эмаль ПФ-115 "оранжевая"</t>
  </si>
  <si>
    <t>эмаль ПФ-115 "синяя "</t>
  </si>
  <si>
    <t>эмаль ПФ-115 "сиреневая"</t>
  </si>
  <si>
    <t xml:space="preserve">эмаль ПФ-115 "черная" </t>
  </si>
  <si>
    <t>сумма</t>
  </si>
  <si>
    <t>наименование</t>
  </si>
  <si>
    <t>ремонт медицинского, торгового и прочего оборудования</t>
  </si>
  <si>
    <t>техосмотр транспортных средств:</t>
  </si>
  <si>
    <t>проведение психиатрического освидетельствования сотрудников</t>
  </si>
  <si>
    <t>подписка на периодические и справочные издания с учетом доставки (вопросы диетологии, здравоохранение, комсомольская правда, лечебная физкультура, охрана труда, работник социальной службы, социальное обслуживание, справочник кадровика)</t>
  </si>
  <si>
    <t>смывы на условно-патогенную микрофлору</t>
  </si>
  <si>
    <t>санитарно-бактериологические исследования смывов на пищеблоке</t>
  </si>
  <si>
    <t>исследование блюд на выполнение раскладки</t>
  </si>
  <si>
    <t>исследование воды на органолептические свойства</t>
  </si>
  <si>
    <t>расходы на выплаты персоналу - всего, из них: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</si>
  <si>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</si>
  <si>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</si>
  <si>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работ, услуг - всего, из них:</t>
  </si>
  <si>
    <t>прочая закупка товаров, работ и услуг</t>
  </si>
  <si>
    <t>бухгалтер</t>
  </si>
  <si>
    <t>Приобретение конвертов</t>
  </si>
  <si>
    <t>Сумма, в руб.</t>
  </si>
  <si>
    <t>Тепловая энергия, Гкал</t>
  </si>
  <si>
    <t>Горячее водоснабжение, Гкал</t>
  </si>
  <si>
    <t>Теплоноситель, куб.м</t>
  </si>
  <si>
    <t>Электроэнергия, кВт/ч</t>
  </si>
  <si>
    <t>Холодное водоснабжение, куб.м</t>
  </si>
  <si>
    <t>Водоотведение, куб.м</t>
  </si>
  <si>
    <t>Итого:</t>
  </si>
  <si>
    <t>Приложение № 5</t>
  </si>
  <si>
    <t>Прочие</t>
  </si>
  <si>
    <t>Работы, услуги по содержанию имущества</t>
  </si>
  <si>
    <t>Противопожарные мероприятия</t>
  </si>
  <si>
    <t>ВСЕГО:</t>
  </si>
  <si>
    <t>Прочие работы, услуги</t>
  </si>
  <si>
    <t>Приложение № 3</t>
  </si>
  <si>
    <t>размещение сайта на сервере, информационное обслуживание на сайте</t>
  </si>
  <si>
    <t>Марка машины</t>
  </si>
  <si>
    <t>Цена</t>
  </si>
  <si>
    <t>Приложение № 6</t>
  </si>
  <si>
    <t>госпошлина</t>
  </si>
  <si>
    <t>пени, штрафы</t>
  </si>
  <si>
    <t xml:space="preserve">транспортный налог, в том числе: </t>
  </si>
  <si>
    <t xml:space="preserve">оплата за негативное воздействие на внешнюю среду, в том числе: </t>
  </si>
  <si>
    <t>Сумма, в руб.        (гр.3*гр.4)</t>
  </si>
  <si>
    <t>Страхование</t>
  </si>
  <si>
    <t>доходы от оказания платных услуг (работ), компенсаций затрат</t>
  </si>
  <si>
    <t>заработная плата</t>
  </si>
  <si>
    <t>начисления на выплаты по оплате труда</t>
  </si>
  <si>
    <t>Приложение № 1</t>
  </si>
  <si>
    <t>итого отопление</t>
  </si>
  <si>
    <t>итого водоснабжение</t>
  </si>
  <si>
    <t>Сумма, в руб.      гр. 3*гр. 4</t>
  </si>
  <si>
    <t>недвижимое</t>
  </si>
  <si>
    <t>особо ценное</t>
  </si>
  <si>
    <t>иное движимое</t>
  </si>
  <si>
    <t>Сумма в год (гр.2 х 12)</t>
  </si>
  <si>
    <t>Сумма в год    (гр.2 х гр.3)</t>
  </si>
  <si>
    <t>Сумма в год (гр.2 х гр.3 х 12)</t>
  </si>
  <si>
    <t>медикаменты</t>
  </si>
  <si>
    <t xml:space="preserve">Потребность бензина (л) </t>
  </si>
  <si>
    <t>Сумма в руб. (гр.3*гр.4)</t>
  </si>
  <si>
    <t>Приложение № 9</t>
  </si>
  <si>
    <t>Услуги,работы для целей капитальных вложений</t>
  </si>
  <si>
    <t>услуги бункеровоза по вывозу КГО</t>
  </si>
  <si>
    <t>мыло жидкое (кожный антисептик) 5,0 л</t>
  </si>
  <si>
    <t>крафт-пакет бумажный 200*330 №100</t>
  </si>
  <si>
    <t>перчатки медицинские стерильные</t>
  </si>
  <si>
    <t>Приложение №10</t>
  </si>
  <si>
    <t xml:space="preserve"> </t>
  </si>
  <si>
    <t>Добрынина И.С.</t>
  </si>
  <si>
    <t>техническое обследование и ремонт мед.оборудования подлежащего гос. поверке</t>
  </si>
  <si>
    <t>дезинфектор</t>
  </si>
  <si>
    <t>лабораторное исследование биоматерилов клиентов</t>
  </si>
  <si>
    <t xml:space="preserve">линолеум </t>
  </si>
  <si>
    <r>
      <t>социальные пособия и компенсации персоналу в денежной форме</t>
    </r>
    <r>
      <rPr>
        <sz val="12"/>
        <color theme="1"/>
        <rFont val="Times New Roman"/>
        <family val="1"/>
        <charset val="204"/>
      </rPr>
      <t xml:space="preserve"> (пособия за первые три дня временной нетрудоспособности за счет средств работодателя)</t>
    </r>
  </si>
  <si>
    <t>кран букса</t>
  </si>
  <si>
    <t>услуги по вывозу и размещению медицинских отходов класса "А"</t>
  </si>
  <si>
    <t>косвенные</t>
  </si>
  <si>
    <t>приложение № 13</t>
  </si>
  <si>
    <t>уплата иных платежей</t>
  </si>
  <si>
    <t>уплата прочих налогов, сборов</t>
  </si>
  <si>
    <t>уплата налога на имущество организаций и земельного налога</t>
  </si>
  <si>
    <t>иные бюджетные ассигнования - всего, из них:</t>
  </si>
  <si>
    <t>приложение № 12</t>
  </si>
  <si>
    <t>противопожарные мероприятия</t>
  </si>
  <si>
    <t>прочие</t>
  </si>
  <si>
    <t>увеличение стоимости прочих оборотных запасов (материалов)</t>
  </si>
  <si>
    <t>приложение №11</t>
  </si>
  <si>
    <t>увеличение стоимости мягкого инвентаря</t>
  </si>
  <si>
    <t>приложение № 10</t>
  </si>
  <si>
    <t>увеличение стоимости строительных материалов</t>
  </si>
  <si>
    <t>приложение № 9</t>
  </si>
  <si>
    <t>увеличение стоимости горюче-смазочных материалов</t>
  </si>
  <si>
    <t>прямые бытовые</t>
  </si>
  <si>
    <t>прямые медицинские</t>
  </si>
  <si>
    <r>
      <t xml:space="preserve">увеличение стоимости лекарственных препаратов и материалов, применяемых в медицинских целях          </t>
    </r>
    <r>
      <rPr>
        <sz val="12"/>
        <color theme="1"/>
        <rFont val="Times New Roman"/>
        <family val="1"/>
        <charset val="204"/>
      </rPr>
      <t>(приложение № 8)</t>
    </r>
  </si>
  <si>
    <t>увеличение стоимости материальных запасов, в том числе:</t>
  </si>
  <si>
    <t>приложение № 7</t>
  </si>
  <si>
    <t>увеличение стоимости основных средств</t>
  </si>
  <si>
    <t>приложение № 6</t>
  </si>
  <si>
    <t>услуги,работы для целей капитальных вложений</t>
  </si>
  <si>
    <t>приложение № 5</t>
  </si>
  <si>
    <t>страхование</t>
  </si>
  <si>
    <t>приложение № 4</t>
  </si>
  <si>
    <t>прочие работы, услуги, в том числе:</t>
  </si>
  <si>
    <t>приложение № 3</t>
  </si>
  <si>
    <t>работы, услуги по содержанию имущества, в том числе:</t>
  </si>
  <si>
    <t>приложение № 2</t>
  </si>
  <si>
    <t>водоснабжение</t>
  </si>
  <si>
    <t>электроэнергия</t>
  </si>
  <si>
    <t>отопление</t>
  </si>
  <si>
    <t>коммунальные услуги</t>
  </si>
  <si>
    <t>приложение №1</t>
  </si>
  <si>
    <t>услуги связи</t>
  </si>
  <si>
    <t>функции технического надзора за ходом выполнения работ по капитальному ремонту</t>
  </si>
  <si>
    <t>разработка проектно-сметной документации</t>
  </si>
  <si>
    <t>экспертиза сметной документации</t>
  </si>
  <si>
    <t>прочие работы, услуги</t>
  </si>
  <si>
    <t>работы, услуги по содержанию имущества</t>
  </si>
  <si>
    <t>закупка товаров, работ, услуг в целях капитального ремонта государственного имущества</t>
  </si>
  <si>
    <t>прочие доходы</t>
  </si>
  <si>
    <t>Поступления от доходов - всего, в том числе:</t>
  </si>
  <si>
    <t>классиф.</t>
  </si>
  <si>
    <t>бюдж.</t>
  </si>
  <si>
    <t>код по</t>
  </si>
  <si>
    <t>Код</t>
  </si>
  <si>
    <t>по приносящей доход деятельности</t>
  </si>
  <si>
    <t>ОС меньше 50 т.р.</t>
  </si>
  <si>
    <t>итого:</t>
  </si>
  <si>
    <t>Сумма (руб.) гр.2 х гр.3</t>
  </si>
  <si>
    <t>Средняя стоимость за 1 единицу</t>
  </si>
  <si>
    <t>Потребность (количество)</t>
  </si>
  <si>
    <t>Наименование оборудования</t>
  </si>
  <si>
    <t>Увеличение стоимости основных средств</t>
  </si>
  <si>
    <t>Приложение № 7</t>
  </si>
  <si>
    <t>знаки пожарной безопасности</t>
  </si>
  <si>
    <t>электроды</t>
  </si>
  <si>
    <t>щетка ст/очистительная</t>
  </si>
  <si>
    <t xml:space="preserve">щетка для пола </t>
  </si>
  <si>
    <t>щетка д/мытья окон</t>
  </si>
  <si>
    <t>штамп на оснастке</t>
  </si>
  <si>
    <t>шнур светодиодный</t>
  </si>
  <si>
    <t>черенок</t>
  </si>
  <si>
    <t>фреза</t>
  </si>
  <si>
    <t>фланец для опоры</t>
  </si>
  <si>
    <t>фланец 63</t>
  </si>
  <si>
    <t xml:space="preserve">фланец 50 </t>
  </si>
  <si>
    <t>фильтр маслянный,воздушный</t>
  </si>
  <si>
    <t>3 360</t>
  </si>
  <si>
    <t>файл</t>
  </si>
  <si>
    <t>удлиннитель 40м</t>
  </si>
  <si>
    <t>труба (PN25)90 стекловолокно</t>
  </si>
  <si>
    <t>труба (PN 25)25 армированная</t>
  </si>
  <si>
    <t>труба (PN 25) 63 стекловолокно</t>
  </si>
  <si>
    <t>труба (PN 25) 50 стекловолокно</t>
  </si>
  <si>
    <t>труба (PN 25) 32 стекловолокно</t>
  </si>
  <si>
    <t>тосол</t>
  </si>
  <si>
    <t>тетрадь школьная</t>
  </si>
  <si>
    <t>тетрадь общая</t>
  </si>
  <si>
    <t>тарелка мелкая темное стекло</t>
  </si>
  <si>
    <t>тарелка мелкая</t>
  </si>
  <si>
    <t>стык разный</t>
  </si>
  <si>
    <t>стартер электрический</t>
  </si>
  <si>
    <t>средство для мытья посуды</t>
  </si>
  <si>
    <t>средство "Пенапол" 5,0л</t>
  </si>
  <si>
    <t>ср-во для посудомоечных машин</t>
  </si>
  <si>
    <t>1 272</t>
  </si>
  <si>
    <t>сода кальцинированная</t>
  </si>
  <si>
    <t>смеситель для мойки,душа</t>
  </si>
  <si>
    <t>скотч 2-х сторонний</t>
  </si>
  <si>
    <t>скотч</t>
  </si>
  <si>
    <t>скоросшиватель пластиковый</t>
  </si>
  <si>
    <t>скоросшиватель</t>
  </si>
  <si>
    <t>скобы для степлера</t>
  </si>
  <si>
    <t>скатерть п/эт</t>
  </si>
  <si>
    <t>сетевой фильтр</t>
  </si>
  <si>
    <t>светильник потолочный</t>
  </si>
  <si>
    <t>светильник люминисцентный с решеткой</t>
  </si>
  <si>
    <t>салфетки чистящие для оргтехники</t>
  </si>
  <si>
    <t>розетка электрическая</t>
  </si>
  <si>
    <t>решетка на ванну</t>
  </si>
  <si>
    <t xml:space="preserve">резинка </t>
  </si>
  <si>
    <t>2 810</t>
  </si>
  <si>
    <t>рассада цветочная</t>
  </si>
  <si>
    <t>радиатор биметалл (10 секций)</t>
  </si>
  <si>
    <t>противогололедный материал "Айсмелт"</t>
  </si>
  <si>
    <t>пропитка по дереву</t>
  </si>
  <si>
    <t>2 335,700</t>
  </si>
  <si>
    <t>порошок стиральный</t>
  </si>
  <si>
    <t>полотно холстопрошивное</t>
  </si>
  <si>
    <t>полотно пильное для лобзика</t>
  </si>
  <si>
    <t>полотенца бумажные</t>
  </si>
  <si>
    <t>пленка полиэтиленовая</t>
  </si>
  <si>
    <t>пистолет д/пены</t>
  </si>
  <si>
    <t>пиала темное стекло</t>
  </si>
  <si>
    <t>петля дверная</t>
  </si>
  <si>
    <t>пена монтажная</t>
  </si>
  <si>
    <t>паста хозяйственная</t>
  </si>
  <si>
    <t>папка-скоросшиватель</t>
  </si>
  <si>
    <t>папка-регистратор</t>
  </si>
  <si>
    <t>папка на кольцах</t>
  </si>
  <si>
    <t>папка 40 файлов</t>
  </si>
  <si>
    <t>опора мебельная (ножки)</t>
  </si>
  <si>
    <t>обвязка д/ванны</t>
  </si>
  <si>
    <t>набор универсальный для радиатора</t>
  </si>
  <si>
    <t>набор текстмаркеров</t>
  </si>
  <si>
    <t>набор для творчества разный</t>
  </si>
  <si>
    <t>мышь манипуляционная для оргтехники</t>
  </si>
  <si>
    <t>мыло хозяйственное</t>
  </si>
  <si>
    <t>мочалка металлическая</t>
  </si>
  <si>
    <t>мойка нержавеющая сталь</t>
  </si>
  <si>
    <t>метла синтетическая</t>
  </si>
  <si>
    <t>металлорукав для провода</t>
  </si>
  <si>
    <t>лоток для бумаг</t>
  </si>
  <si>
    <t>лопата совковая</t>
  </si>
  <si>
    <t>лопата снеговая пластмассовая</t>
  </si>
  <si>
    <t>лопата снеговая деревянная</t>
  </si>
  <si>
    <t>ложка столовая нержавеющая</t>
  </si>
  <si>
    <t>1 000</t>
  </si>
  <si>
    <t>лента оградительная</t>
  </si>
  <si>
    <t>лейка оцинкованная 8,0л</t>
  </si>
  <si>
    <t>лампа-переноска 10м</t>
  </si>
  <si>
    <t>лампа энергосберегающая</t>
  </si>
  <si>
    <t>лампа электрическая</t>
  </si>
  <si>
    <t>лампа точечная электрическая</t>
  </si>
  <si>
    <t>лампа люминисцентная</t>
  </si>
  <si>
    <t>лампа автомобильная (компл)</t>
  </si>
  <si>
    <t>лампа автомобильная</t>
  </si>
  <si>
    <t>кружка темное,светлое стекло</t>
  </si>
  <si>
    <t>кронштейн для фонаря</t>
  </si>
  <si>
    <t>кронштейн для телевизора</t>
  </si>
  <si>
    <t>кронштейн для радиатора</t>
  </si>
  <si>
    <t>краска для маркировки.</t>
  </si>
  <si>
    <t>котел нержавеющий 21л</t>
  </si>
  <si>
    <t>корректор-карандаш</t>
  </si>
  <si>
    <t>корректор канцелярский</t>
  </si>
  <si>
    <t>корзина хозяйственная</t>
  </si>
  <si>
    <t>контейнер с чернилами</t>
  </si>
  <si>
    <t>коммутатор б/к ГАЗ</t>
  </si>
  <si>
    <t>колесо поворотное</t>
  </si>
  <si>
    <t>колесо в сборе автомобильное</t>
  </si>
  <si>
    <t>колесо (к тележкам)</t>
  </si>
  <si>
    <t>коврик диэлектрический</t>
  </si>
  <si>
    <t>клей-карандаш</t>
  </si>
  <si>
    <t>клей двухкомпанентный</t>
  </si>
  <si>
    <t>клей 88</t>
  </si>
  <si>
    <t>клей "момент" 125 гр</t>
  </si>
  <si>
    <t>клей "жидкие гвозди"</t>
  </si>
  <si>
    <t>клавиатура</t>
  </si>
  <si>
    <t>катушка зажигания</t>
  </si>
  <si>
    <t>кастрюля нержавейка</t>
  </si>
  <si>
    <t>картридж к копировальному аппарату</t>
  </si>
  <si>
    <t>картон для поделок</t>
  </si>
  <si>
    <t>карниз профильный</t>
  </si>
  <si>
    <t>календарь перекидной</t>
  </si>
  <si>
    <t>календарь настенный</t>
  </si>
  <si>
    <t>кабель-канал 40х25 2,0</t>
  </si>
  <si>
    <t>излив настенного смесителя</t>
  </si>
  <si>
    <t>защелка межкомнатная</t>
  </si>
  <si>
    <t>замок навесной</t>
  </si>
  <si>
    <t>замок врезной</t>
  </si>
  <si>
    <t>журнал учета проведения генеральных уборок</t>
  </si>
  <si>
    <t>журнал регистрации контроля работы бактерицидных ламп</t>
  </si>
  <si>
    <t>журнал</t>
  </si>
  <si>
    <t>жидкость для омывателя</t>
  </si>
  <si>
    <t>елочные украшения</t>
  </si>
  <si>
    <t>ежедневник</t>
  </si>
  <si>
    <t>дозатор локтевой</t>
  </si>
  <si>
    <t>доводчик</t>
  </si>
  <si>
    <t>гуашь</t>
  </si>
  <si>
    <t>грунт цветочный</t>
  </si>
  <si>
    <t>грабли</t>
  </si>
  <si>
    <t>гирлянда новогодняя</t>
  </si>
  <si>
    <t>гель чистящий "Санокс"</t>
  </si>
  <si>
    <t>вертикальный накопитель</t>
  </si>
  <si>
    <t>веник "Сорго"</t>
  </si>
  <si>
    <t>ведро эмалированное 12л. с крышкой</t>
  </si>
  <si>
    <t>ведро эмалированное</t>
  </si>
  <si>
    <t>валик</t>
  </si>
  <si>
    <t>бурт 63</t>
  </si>
  <si>
    <t>бумага цветная</t>
  </si>
  <si>
    <t>бумага писчая</t>
  </si>
  <si>
    <t>бумага ксероксня цветная</t>
  </si>
  <si>
    <t>бумага ксероксная</t>
  </si>
  <si>
    <t>бокс для автомата</t>
  </si>
  <si>
    <t>блок-фара</t>
  </si>
  <si>
    <t>блокнот</t>
  </si>
  <si>
    <t>бензошланг (м)</t>
  </si>
  <si>
    <t>белизна</t>
  </si>
  <si>
    <t>арматура для унитаза боковая</t>
  </si>
  <si>
    <t>антифриз</t>
  </si>
  <si>
    <t>аккумулятор 7  а/ч</t>
  </si>
  <si>
    <t>авторучка</t>
  </si>
  <si>
    <t>автомат 1-полюсной 16А</t>
  </si>
  <si>
    <t>Приложение № 12</t>
  </si>
  <si>
    <t>Полотенце банное, махровое</t>
  </si>
  <si>
    <t>Полотенце вафельное</t>
  </si>
  <si>
    <t>Наволочка нижняя</t>
  </si>
  <si>
    <t>Наволочка</t>
  </si>
  <si>
    <t>Простыня</t>
  </si>
  <si>
    <t>Пододеяльник</t>
  </si>
  <si>
    <t>Матрац</t>
  </si>
  <si>
    <t>Покрывало</t>
  </si>
  <si>
    <t>Подушка</t>
  </si>
  <si>
    <t>Одеяло полушерстяное</t>
  </si>
  <si>
    <t>Одеяло (ватное), синтепон</t>
  </si>
  <si>
    <t>7.Постельные принадлежности:</t>
  </si>
  <si>
    <t>Обувь резиновая</t>
  </si>
  <si>
    <t>Обувь комнатная</t>
  </si>
  <si>
    <t>Кроссовки</t>
  </si>
  <si>
    <t>Летняя женская</t>
  </si>
  <si>
    <t>Летняя мужская</t>
  </si>
  <si>
    <t>Зимняя женская</t>
  </si>
  <si>
    <t>Зимняя мужская</t>
  </si>
  <si>
    <t>6.Обувь:</t>
  </si>
  <si>
    <t>Варежки, перчатки п/ш</t>
  </si>
  <si>
    <t>Платок (шапка) головной х/б женский</t>
  </si>
  <si>
    <t>Платок(шапка) п/ш  женский</t>
  </si>
  <si>
    <t>Головной убор летний мужской</t>
  </si>
  <si>
    <t>Головной убор зимний мужской</t>
  </si>
  <si>
    <t>5.Головные уборы и головные изделия:</t>
  </si>
  <si>
    <t>Чулки</t>
  </si>
  <si>
    <t>Колготки</t>
  </si>
  <si>
    <t>Носки, гольфы х/б женские</t>
  </si>
  <si>
    <t>Носки х/б мужские</t>
  </si>
  <si>
    <t>Носки, гольфы п/ш женские</t>
  </si>
  <si>
    <t>Носки п/ш мужские</t>
  </si>
  <si>
    <t>4.Чулочно-носочные изделия:</t>
  </si>
  <si>
    <t>Майка (сорочка ночная)женская</t>
  </si>
  <si>
    <t>Майка мужская</t>
  </si>
  <si>
    <t>Трусы (панталоны) женские</t>
  </si>
  <si>
    <t>Трусы мужские</t>
  </si>
  <si>
    <t>3.Белье:</t>
  </si>
  <si>
    <t>Рейтузы п/ш</t>
  </si>
  <si>
    <t>Платье х/б</t>
  </si>
  <si>
    <t>Платье  п/ш, фланелевое женское</t>
  </si>
  <si>
    <t>Спортивный костюм</t>
  </si>
  <si>
    <t>Джемпер (свитер, кофта) п/ш, трикотажный</t>
  </si>
  <si>
    <t>Брюки х/б, джинсы женские</t>
  </si>
  <si>
    <t>Брюки, х/б, джинсы мужские</t>
  </si>
  <si>
    <t>Брюки п/ш, мужские</t>
  </si>
  <si>
    <t>Сорочка мужская х/б, фланелевая</t>
  </si>
  <si>
    <t>2.Верхняя костюмно-платьевая группа:</t>
  </si>
  <si>
    <t>Пальто демисезонное (плащ, куртка) женское</t>
  </si>
  <si>
    <t xml:space="preserve">Пальто демисезонное (плащ, куртка) мужское </t>
  </si>
  <si>
    <t>Пальто (куртка) зимнее женское</t>
  </si>
  <si>
    <t>Пальто (куртка) зимнее мужское</t>
  </si>
  <si>
    <t>1.Верхняя пальтовая группа:</t>
  </si>
  <si>
    <t>В обороте</t>
  </si>
  <si>
    <t>Склад</t>
  </si>
  <si>
    <t>ВСЕГО</t>
  </si>
  <si>
    <t>Цена за ед.</t>
  </si>
  <si>
    <t>Подлежит приобрести</t>
  </si>
  <si>
    <t>Подлежит списанию</t>
  </si>
  <si>
    <t>ИТОГО</t>
  </si>
  <si>
    <t>Фактическое наличие</t>
  </si>
  <si>
    <t>Срок износа , лет</t>
  </si>
  <si>
    <t>Количество на чел., шт</t>
  </si>
  <si>
    <t>Полагается по норме в год</t>
  </si>
  <si>
    <t>Группы</t>
  </si>
  <si>
    <t>Количество женщин - 230</t>
  </si>
  <si>
    <t>Количество мужчин - 160</t>
  </si>
  <si>
    <t>Приложение № 11</t>
  </si>
  <si>
    <t xml:space="preserve">приобретение неисключительных (пользовательских), лицензионных прав на программное обеспечение "СБиС++ЭО" </t>
  </si>
  <si>
    <t>работы по замене оконных блоков</t>
  </si>
  <si>
    <t>работы по замене перил</t>
  </si>
  <si>
    <t>прочие несоциальные выплаты персоналу в денежной форме</t>
  </si>
  <si>
    <t xml:space="preserve">счетчик для воды </t>
  </si>
  <si>
    <t xml:space="preserve">устройство хранения информации </t>
  </si>
  <si>
    <t>социальные пособия и компенсации персоналу в денежной форме (пособия за первые три дня временной нетрудоспособности за счет средств работодателя)</t>
  </si>
  <si>
    <t>заправка, восстановление картриджей</t>
  </si>
  <si>
    <t>ремонт и перетяжка мебели</t>
  </si>
  <si>
    <r>
      <t>прочие работы и услуги</t>
    </r>
    <r>
      <rPr>
        <sz val="12"/>
        <rFont val="Times New Roman"/>
        <family val="1"/>
        <charset val="204"/>
      </rPr>
      <t xml:space="preserve"> (возмещение сотрудникам за медосмотр)</t>
    </r>
  </si>
  <si>
    <t>приложение № 8</t>
  </si>
  <si>
    <t>Услуги "Виртуальная АТС"</t>
  </si>
  <si>
    <t>водитель (ежегодно)</t>
  </si>
  <si>
    <t>приобретение неисключительных прав ПО "Контур. Маркировка.Фарм"" на 1 год</t>
  </si>
  <si>
    <t>приобретение неисключительных прав ПО "Кадровое дело" на 1 год</t>
  </si>
  <si>
    <t>приобретние неисключительных прав ПО "Гос.финансы" на 1 год</t>
  </si>
  <si>
    <t>приобретние неисключительных прав ПО "Гос.заказ" на 1 год</t>
  </si>
  <si>
    <t>приобретние неисключительных прав ПО "Старшая мед.сестра" на 1 год</t>
  </si>
  <si>
    <t>приобретение неисключительных прав ПО "VipNet Client" 1 год</t>
  </si>
  <si>
    <t xml:space="preserve">   ГАЗель NEXT</t>
  </si>
  <si>
    <t>забор промышленных выбросов в атмосферу</t>
  </si>
  <si>
    <t>Расчеты к ПФХД на 2021 год</t>
  </si>
  <si>
    <t>Расчет затрат по КОСГУ 221 на 2021 год</t>
  </si>
  <si>
    <t>Расчет затрат по КОСГУ 225 КВР 244 на 2021 год</t>
  </si>
  <si>
    <t>Расчет затрат по КОСГУ 226 КВР 244  на 2021 год</t>
  </si>
  <si>
    <t>Расчет затрат по КОСГУ 227 КВР 244  на 2021 год</t>
  </si>
  <si>
    <t>Расчет затрат по КОСГУ 228 КВР 244  на 2021 год</t>
  </si>
  <si>
    <t>Расчет затрат по КОСГУ 290 на 2021 год</t>
  </si>
  <si>
    <t>земельный налог</t>
  </si>
  <si>
    <t xml:space="preserve">налог на имущество                                                                </t>
  </si>
  <si>
    <t>Расчет затрат по КОСГУ 341 (увеличение стоимости лекарственных препаратов и материалов, применяемых в медицинских целях) на 2021 год</t>
  </si>
  <si>
    <t xml:space="preserve">   ГАЗель Next</t>
  </si>
  <si>
    <t>Расчет затрат по КОСГУ 343 (увеличение стоимости горюче-смазочных материалов) на 2021 год</t>
  </si>
  <si>
    <t>Расчет затрат по КОСГУ 344 (увеличение стоимости строительных материалов) на 2021 год</t>
  </si>
  <si>
    <t>Расчет затрат по КОСГУ 345 (увеличение стоимости мягкого инвентаря) на 2021 год</t>
  </si>
  <si>
    <t>Расчет затрат по КОСГУ 346 (увеличение стоимости прочих оборотных запасов (материалов)) на 2021 год</t>
  </si>
  <si>
    <t xml:space="preserve">капитальный ремонт крыльца и благоустройство территории выхода на прогулочную зону </t>
  </si>
  <si>
    <t>капитальный ремонт потолка обеденного зала пищеблока (смета находиться в работе)</t>
  </si>
  <si>
    <t>самоспасатель СПИ-20</t>
  </si>
  <si>
    <t xml:space="preserve"> монтаж пожарной сигнализации  обеденног зала пищеблока</t>
  </si>
  <si>
    <t>заместитель директора по ОВ</t>
  </si>
  <si>
    <t>Стерилизатор паровой (зубной кабинет)</t>
  </si>
  <si>
    <t>Кушетка медицинская</t>
  </si>
  <si>
    <t>Дерматоскоп</t>
  </si>
  <si>
    <t>Тонометры с манжетами</t>
  </si>
  <si>
    <t>Тележка для уборки медицинские</t>
  </si>
  <si>
    <t>Шкаф для хранения уборочного инвентаря</t>
  </si>
  <si>
    <t>Табурет душевой</t>
  </si>
  <si>
    <t>Столик прикроватный</t>
  </si>
  <si>
    <t>Бесконтактная гидромассажная ванна</t>
  </si>
  <si>
    <t>Тренажер для активно-пассивной разработки конечностей</t>
  </si>
  <si>
    <t>Бочка с инфраскрасными излучателями для физиотерапии</t>
  </si>
  <si>
    <t xml:space="preserve"> монтаж пожарной сигнализации переход на 2 отделение и к пищеблоку</t>
  </si>
  <si>
    <t>Автомобиль ГАЗель NEXT A32R33-60</t>
  </si>
  <si>
    <t>Насос дренажный</t>
  </si>
  <si>
    <t>Холодильник бытовой</t>
  </si>
  <si>
    <t>Чайник электрический</t>
  </si>
  <si>
    <t>Утюг электрический</t>
  </si>
  <si>
    <t>Печь микроволновая</t>
  </si>
  <si>
    <t>Лампа настольная</t>
  </si>
  <si>
    <t>Кровать металлическая</t>
  </si>
  <si>
    <t>Кровать с деревянными спинками</t>
  </si>
  <si>
    <t>Кровать с матрацем</t>
  </si>
  <si>
    <t>Шкаф 3-х створчатый</t>
  </si>
  <si>
    <t>Тума прикроватная</t>
  </si>
  <si>
    <t>Стол на металлической опоре</t>
  </si>
  <si>
    <t xml:space="preserve">Перфоратор </t>
  </si>
  <si>
    <t>Шруповерт</t>
  </si>
  <si>
    <t>Диван 3-х местный</t>
  </si>
  <si>
    <t>Секция 4-х местная "Троя"</t>
  </si>
  <si>
    <t>Весы товарные</t>
  </si>
  <si>
    <t>Кипятильник КНЭ-100</t>
  </si>
  <si>
    <t>Обогреватель электрический</t>
  </si>
  <si>
    <t>Стиральная машина автомат на 25 кг</t>
  </si>
  <si>
    <t>аттестация рабочих мест</t>
  </si>
  <si>
    <t>монитор</t>
  </si>
  <si>
    <t>системный блок</t>
  </si>
  <si>
    <t>камера видеонаблюдения</t>
  </si>
  <si>
    <t>Расчет затрат по КОСГУ 310 на 2021 год</t>
  </si>
  <si>
    <t>техническое обслуживание системы многоканального телевидения</t>
  </si>
  <si>
    <t>увелич. Пенсия</t>
  </si>
  <si>
    <t>услуги по осуществлению комплексных мероприятий по круглосуточной охране зданий и территории (130,00 руб. в час)</t>
  </si>
  <si>
    <t>продление лицензии на ПО "АС Смета" на 1 год (7 рабочих мест)</t>
  </si>
  <si>
    <t>закупка энергетических ресурсов</t>
  </si>
  <si>
    <t>Расчет затрат по КВР 247  КОСГУ 223 на 2021 год</t>
  </si>
  <si>
    <t>Расчет затрат по КВР 244 КОСГУ 223 на 2021 год</t>
  </si>
  <si>
    <t>Приложение №13</t>
  </si>
  <si>
    <t>приложение № 14</t>
  </si>
  <si>
    <t>Приложение № 14</t>
  </si>
  <si>
    <t>Сервер для рабочей группы (7 рабочих мест)</t>
  </si>
  <si>
    <t>проведение лабораторных исследований на COVID-19</t>
  </si>
  <si>
    <t>увеличение стоимости продуктов питания (64 руб.19 коп. * 142350 к/дн)</t>
  </si>
  <si>
    <t>увеличение стоимости продуктов питания (110руб.81коп.*142350к/дн)</t>
  </si>
  <si>
    <t>капитальный ремонт секционных ворот</t>
  </si>
  <si>
    <t>капитальный ремонт пожарного водопровода в здании главного корпуса</t>
  </si>
  <si>
    <t>капитальный ремонт системы отопления (ТВЦ)</t>
  </si>
  <si>
    <t>390 ч. х 9273,50 р.</t>
  </si>
  <si>
    <t>"______"______________ 2021 год</t>
  </si>
  <si>
    <t>"____"______________2021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</si>
</sst>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#,##0&quot;р.&quot;;\-#,##0&quot;р.&quot;"/>
    <numFmt numFmtId="42" formatCode="_-* #,##0&quot;р.&quot;_-;\-* #,##0&quot;р.&quot;_-;_-* &quot;-&quot;&quot;р.&quot;_-;_-@_-"/>
    <numFmt numFmtId="44" formatCode="_-* #,##0.00&quot;р.&quot;_-;\-* #,##0.00&quot;р.&quot;_-;_-* &quot;-&quot;??&quot;р.&quot;_-;_-@_-"/>
    <numFmt numFmtId="164" formatCode="_-* #,##0.00[$р.-419]_-;\-* #,##0.00[$р.-419]_-;_-* &quot;-&quot;??[$р.-419]_-;_-@_-"/>
    <numFmt numFmtId="165" formatCode="#,##0.00&quot;р.&quot;"/>
    <numFmt numFmtId="166" formatCode="0.000"/>
    <numFmt numFmtId="167" formatCode="#,##0\ _₽"/>
    <numFmt numFmtId="168" formatCode="#,##0.0"/>
    <numFmt numFmtId="169" formatCode="_-* #,##0.00\ [$р.-423]_-;\-* #,##0.00\ [$р.-423]_-;_-* &quot;-&quot;??\ [$р.-423]_-;_-@_-"/>
    <numFmt numFmtId="170" formatCode="0.0"/>
    <numFmt numFmtId="171" formatCode="#,##0.00\ &quot;₽&quot;"/>
    <numFmt numFmtId="172" formatCode="#,##0&quot;р.&quot;"/>
    <numFmt numFmtId="173" formatCode="[$-F800]dddd\,\ mmmm\ dd\,\ yyyy"/>
    <numFmt numFmtId="174" formatCode="#,##0_р_."/>
    <numFmt numFmtId="175" formatCode="_-* #,##0\ [$р.-423]_-;\-* #,##0\ [$р.-423]_-;_-* &quot;-&quot;\ [$р.-423]_-;_-@_-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i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2" fillId="0" borderId="0"/>
    <xf numFmtId="0" fontId="15" fillId="0" borderId="0"/>
  </cellStyleXfs>
  <cellXfs count="59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 wrapText="1"/>
    </xf>
    <xf numFmtId="0" fontId="2" fillId="0" borderId="0" xfId="0" applyFont="1" applyFill="1"/>
    <xf numFmtId="0" fontId="0" fillId="0" borderId="0" xfId="0" applyFill="1"/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3" fillId="0" borderId="0" xfId="0" applyFont="1" applyFill="1"/>
    <xf numFmtId="0" fontId="0" fillId="0" borderId="0" xfId="0"/>
    <xf numFmtId="0" fontId="2" fillId="0" borderId="0" xfId="0" applyFont="1"/>
    <xf numFmtId="0" fontId="4" fillId="0" borderId="20" xfId="0" applyFont="1" applyFill="1" applyBorder="1" applyAlignment="1">
      <alignment horizontal="center"/>
    </xf>
    <xf numFmtId="164" fontId="2" fillId="0" borderId="7" xfId="0" applyNumberFormat="1" applyFont="1" applyFill="1" applyBorder="1"/>
    <xf numFmtId="0" fontId="2" fillId="0" borderId="7" xfId="0" applyFont="1" applyFill="1" applyBorder="1"/>
    <xf numFmtId="164" fontId="4" fillId="0" borderId="9" xfId="0" applyNumberFormat="1" applyFont="1" applyFill="1" applyBorder="1"/>
    <xf numFmtId="0" fontId="2" fillId="0" borderId="19" xfId="0" applyFont="1" applyFill="1" applyBorder="1" applyAlignment="1">
      <alignment horizontal="center"/>
    </xf>
    <xf numFmtId="164" fontId="2" fillId="0" borderId="9" xfId="0" applyNumberFormat="1" applyFont="1" applyFill="1" applyBorder="1"/>
    <xf numFmtId="0" fontId="2" fillId="0" borderId="19" xfId="0" applyFont="1" applyFill="1" applyBorder="1" applyAlignment="1">
      <alignment horizontal="center" wrapText="1"/>
    </xf>
    <xf numFmtId="164" fontId="4" fillId="0" borderId="7" xfId="0" applyNumberFormat="1" applyFont="1" applyFill="1" applyBorder="1"/>
    <xf numFmtId="0" fontId="4" fillId="0" borderId="7" xfId="0" applyFont="1" applyFill="1" applyBorder="1"/>
    <xf numFmtId="0" fontId="2" fillId="0" borderId="3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4" fillId="0" borderId="33" xfId="0" applyFont="1" applyFill="1" applyBorder="1"/>
    <xf numFmtId="0" fontId="4" fillId="0" borderId="0" xfId="0" applyFont="1" applyFill="1" applyBorder="1"/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/>
    </xf>
    <xf numFmtId="44" fontId="2" fillId="0" borderId="29" xfId="0" applyNumberFormat="1" applyFont="1" applyFill="1" applyBorder="1" applyAlignment="1">
      <alignment vertical="center" wrapText="1"/>
    </xf>
    <xf numFmtId="44" fontId="4" fillId="0" borderId="29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left" vertical="top" wrapText="1"/>
    </xf>
    <xf numFmtId="0" fontId="2" fillId="0" borderId="58" xfId="0" applyFont="1" applyFill="1" applyBorder="1" applyAlignment="1">
      <alignment horizontal="center" vertical="center" wrapText="1"/>
    </xf>
    <xf numFmtId="44" fontId="2" fillId="0" borderId="58" xfId="0" applyNumberFormat="1" applyFont="1" applyFill="1" applyBorder="1" applyAlignment="1">
      <alignment vertical="center" wrapText="1"/>
    </xf>
    <xf numFmtId="44" fontId="4" fillId="0" borderId="4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44" fontId="2" fillId="0" borderId="16" xfId="0" applyNumberFormat="1" applyFont="1" applyFill="1" applyBorder="1" applyAlignment="1">
      <alignment vertical="center" wrapText="1"/>
    </xf>
    <xf numFmtId="44" fontId="2" fillId="0" borderId="17" xfId="0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wrapText="1"/>
    </xf>
    <xf numFmtId="44" fontId="2" fillId="0" borderId="7" xfId="0" applyNumberFormat="1" applyFont="1" applyFill="1" applyBorder="1" applyAlignment="1">
      <alignment vertical="center" wrapText="1"/>
    </xf>
    <xf numFmtId="0" fontId="2" fillId="0" borderId="30" xfId="0" applyFont="1" applyFill="1" applyBorder="1" applyAlignment="1">
      <alignment wrapText="1"/>
    </xf>
    <xf numFmtId="2" fontId="2" fillId="0" borderId="30" xfId="0" applyNumberFormat="1" applyFont="1" applyFill="1" applyBorder="1" applyAlignment="1">
      <alignment vertical="center" wrapText="1"/>
    </xf>
    <xf numFmtId="44" fontId="4" fillId="0" borderId="31" xfId="0" applyNumberFormat="1" applyFont="1" applyFill="1" applyBorder="1" applyAlignment="1">
      <alignment vertical="center" wrapText="1"/>
    </xf>
    <xf numFmtId="0" fontId="4" fillId="0" borderId="0" xfId="0" applyFont="1" applyFill="1"/>
    <xf numFmtId="44" fontId="4" fillId="0" borderId="0" xfId="0" applyNumberFormat="1" applyFont="1" applyFill="1"/>
    <xf numFmtId="0" fontId="4" fillId="0" borderId="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justify" vertical="center" wrapText="1"/>
    </xf>
    <xf numFmtId="0" fontId="7" fillId="0" borderId="34" xfId="0" applyFont="1" applyFill="1" applyBorder="1" applyAlignment="1">
      <alignment horizontal="justify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wrapText="1"/>
    </xf>
    <xf numFmtId="0" fontId="7" fillId="0" borderId="34" xfId="0" applyFont="1" applyFill="1" applyBorder="1" applyAlignment="1">
      <alignment horizontal="right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left" wrapText="1"/>
    </xf>
    <xf numFmtId="0" fontId="6" fillId="0" borderId="49" xfId="0" applyFont="1" applyFill="1" applyBorder="1" applyAlignment="1">
      <alignment horizontal="center" vertical="center" wrapText="1"/>
    </xf>
    <xf numFmtId="164" fontId="6" fillId="0" borderId="7" xfId="0" applyNumberFormat="1" applyFont="1" applyFill="1" applyBorder="1"/>
    <xf numFmtId="0" fontId="16" fillId="0" borderId="61" xfId="5" applyFont="1" applyFill="1" applyBorder="1" applyAlignment="1">
      <alignment horizontal="left" vertical="top" wrapText="1"/>
    </xf>
    <xf numFmtId="164" fontId="6" fillId="0" borderId="14" xfId="0" applyNumberFormat="1" applyFont="1" applyFill="1" applyBorder="1"/>
    <xf numFmtId="0" fontId="6" fillId="0" borderId="22" xfId="0" applyFont="1" applyFill="1" applyBorder="1" applyAlignment="1">
      <alignment horizontal="center" vertical="center" wrapText="1"/>
    </xf>
    <xf numFmtId="0" fontId="14" fillId="0" borderId="63" xfId="5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vertical="top" wrapText="1"/>
    </xf>
    <xf numFmtId="4" fontId="6" fillId="0" borderId="25" xfId="0" applyNumberFormat="1" applyFont="1" applyFill="1" applyBorder="1" applyAlignment="1">
      <alignment vertical="top" wrapText="1"/>
    </xf>
    <xf numFmtId="0" fontId="6" fillId="0" borderId="8" xfId="0" applyFont="1" applyFill="1" applyBorder="1"/>
    <xf numFmtId="0" fontId="6" fillId="0" borderId="7" xfId="0" applyFont="1" applyFill="1" applyBorder="1"/>
    <xf numFmtId="0" fontId="14" fillId="0" borderId="60" xfId="5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0" fontId="16" fillId="0" borderId="13" xfId="5" applyFont="1" applyFill="1" applyBorder="1" applyAlignment="1">
      <alignment horizontal="left" vertical="top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34" xfId="0" applyFont="1" applyFill="1" applyBorder="1"/>
    <xf numFmtId="0" fontId="2" fillId="0" borderId="44" xfId="0" applyFont="1" applyFill="1" applyBorder="1"/>
    <xf numFmtId="0" fontId="2" fillId="0" borderId="0" xfId="0" applyFont="1" applyFill="1" applyAlignment="1">
      <alignment horizontal="right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/>
    <xf numFmtId="168" fontId="6" fillId="0" borderId="16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/>
    <xf numFmtId="0" fontId="6" fillId="0" borderId="21" xfId="0" applyFont="1" applyFill="1" applyBorder="1"/>
    <xf numFmtId="168" fontId="6" fillId="0" borderId="18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justify" vertical="center" wrapText="1"/>
    </xf>
    <xf numFmtId="4" fontId="7" fillId="0" borderId="34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164" fontId="2" fillId="0" borderId="34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164" fontId="2" fillId="0" borderId="35" xfId="0" applyNumberFormat="1" applyFont="1" applyFill="1" applyBorder="1" applyAlignment="1">
      <alignment horizontal="center"/>
    </xf>
    <xf numFmtId="0" fontId="6" fillId="0" borderId="44" xfId="0" applyNumberFormat="1" applyFont="1" applyFill="1" applyBorder="1" applyAlignment="1">
      <alignment horizontal="center"/>
    </xf>
    <xf numFmtId="0" fontId="6" fillId="0" borderId="34" xfId="0" applyNumberFormat="1" applyFont="1" applyFill="1" applyBorder="1" applyAlignment="1">
      <alignment horizontal="center"/>
    </xf>
    <xf numFmtId="0" fontId="2" fillId="0" borderId="34" xfId="0" applyNumberFormat="1" applyFont="1" applyFill="1" applyBorder="1" applyAlignment="1">
      <alignment horizontal="center"/>
    </xf>
    <xf numFmtId="0" fontId="2" fillId="0" borderId="31" xfId="0" applyNumberFormat="1" applyFont="1" applyFill="1" applyBorder="1" applyAlignment="1">
      <alignment horizontal="center"/>
    </xf>
    <xf numFmtId="44" fontId="6" fillId="0" borderId="16" xfId="1" applyNumberFormat="1" applyFont="1" applyFill="1" applyBorder="1" applyAlignment="1">
      <alignment horizontal="center"/>
    </xf>
    <xf numFmtId="0" fontId="18" fillId="0" borderId="8" xfId="0" applyNumberFormat="1" applyFont="1" applyFill="1" applyBorder="1" applyAlignment="1">
      <alignment horizontal="left" vertical="top" wrapText="1"/>
    </xf>
    <xf numFmtId="0" fontId="18" fillId="0" borderId="7" xfId="0" applyNumberFormat="1" applyFont="1" applyFill="1" applyBorder="1" applyAlignment="1">
      <alignment horizontal="center" vertical="top"/>
    </xf>
    <xf numFmtId="44" fontId="18" fillId="0" borderId="7" xfId="0" applyNumberFormat="1" applyFont="1" applyFill="1" applyBorder="1" applyAlignment="1">
      <alignment horizontal="center" vertical="top" wrapText="1"/>
    </xf>
    <xf numFmtId="167" fontId="18" fillId="0" borderId="7" xfId="0" applyNumberFormat="1" applyFont="1" applyFill="1" applyBorder="1" applyAlignment="1">
      <alignment horizontal="center" vertical="top"/>
    </xf>
    <xf numFmtId="167" fontId="18" fillId="0" borderId="7" xfId="0" applyNumberFormat="1" applyFont="1" applyFill="1" applyBorder="1" applyAlignment="1" applyProtection="1">
      <alignment horizontal="center" vertical="top"/>
    </xf>
    <xf numFmtId="4" fontId="6" fillId="0" borderId="32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9" fillId="0" borderId="0" xfId="0" applyFont="1" applyFill="1"/>
    <xf numFmtId="0" fontId="6" fillId="0" borderId="4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38" xfId="0" applyBorder="1"/>
    <xf numFmtId="0" fontId="0" fillId="0" borderId="52" xfId="0" applyBorder="1"/>
    <xf numFmtId="0" fontId="6" fillId="0" borderId="18" xfId="0" applyFont="1" applyFill="1" applyBorder="1" applyAlignment="1">
      <alignment horizontal="center" wrapText="1"/>
    </xf>
    <xf numFmtId="2" fontId="6" fillId="0" borderId="18" xfId="0" applyNumberFormat="1" applyFont="1" applyFill="1" applyBorder="1" applyAlignment="1">
      <alignment horizontal="right" wrapText="1"/>
    </xf>
    <xf numFmtId="44" fontId="6" fillId="0" borderId="47" xfId="0" applyNumberFormat="1" applyFont="1" applyFill="1" applyBorder="1" applyAlignment="1">
      <alignment horizontal="center" wrapText="1"/>
    </xf>
    <xf numFmtId="0" fontId="0" fillId="0" borderId="33" xfId="0" applyBorder="1"/>
    <xf numFmtId="0" fontId="8" fillId="0" borderId="34" xfId="0" applyFont="1" applyBorder="1"/>
    <xf numFmtId="44" fontId="8" fillId="0" borderId="35" xfId="0" applyNumberFormat="1" applyFont="1" applyBorder="1"/>
    <xf numFmtId="0" fontId="4" fillId="0" borderId="19" xfId="0" applyFont="1" applyFill="1" applyBorder="1" applyAlignment="1">
      <alignment horizontal="left" wrapText="1"/>
    </xf>
    <xf numFmtId="0" fontId="0" fillId="0" borderId="65" xfId="0" applyBorder="1"/>
    <xf numFmtId="0" fontId="0" fillId="0" borderId="66" xfId="0" applyBorder="1"/>
    <xf numFmtId="0" fontId="0" fillId="0" borderId="32" xfId="0" applyBorder="1"/>
    <xf numFmtId="0" fontId="0" fillId="0" borderId="67" xfId="0" applyBorder="1"/>
    <xf numFmtId="0" fontId="0" fillId="0" borderId="68" xfId="0" applyBorder="1"/>
    <xf numFmtId="0" fontId="0" fillId="0" borderId="20" xfId="0" applyBorder="1"/>
    <xf numFmtId="44" fontId="18" fillId="0" borderId="16" xfId="0" applyNumberFormat="1" applyFont="1" applyFill="1" applyBorder="1" applyAlignment="1">
      <alignment horizontal="center" vertical="top" wrapText="1"/>
    </xf>
    <xf numFmtId="0" fontId="17" fillId="0" borderId="0" xfId="5" applyFont="1" applyFill="1" applyAlignment="1">
      <alignment horizontal="center" vertical="center" wrapText="1"/>
    </xf>
    <xf numFmtId="0" fontId="18" fillId="0" borderId="49" xfId="0" applyNumberFormat="1" applyFont="1" applyFill="1" applyBorder="1" applyAlignment="1">
      <alignment horizontal="left" vertical="top" wrapText="1"/>
    </xf>
    <xf numFmtId="44" fontId="6" fillId="0" borderId="42" xfId="1" applyNumberFormat="1" applyFont="1" applyFill="1" applyBorder="1" applyAlignment="1">
      <alignment horizontal="center"/>
    </xf>
    <xf numFmtId="0" fontId="18" fillId="0" borderId="18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6" fillId="0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/>
    <xf numFmtId="0" fontId="6" fillId="2" borderId="7" xfId="0" applyFont="1" applyFill="1" applyBorder="1" applyAlignment="1">
      <alignment horizontal="center" vertical="center" wrapText="1"/>
    </xf>
    <xf numFmtId="2" fontId="6" fillId="2" borderId="7" xfId="0" applyNumberFormat="1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wrapText="1"/>
    </xf>
    <xf numFmtId="0" fontId="6" fillId="2" borderId="1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wrapText="1"/>
    </xf>
    <xf numFmtId="44" fontId="4" fillId="2" borderId="35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/>
    <xf numFmtId="0" fontId="4" fillId="2" borderId="7" xfId="0" applyFont="1" applyFill="1" applyBorder="1" applyAlignment="1">
      <alignment wrapText="1"/>
    </xf>
    <xf numFmtId="0" fontId="5" fillId="0" borderId="3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wrapText="1"/>
    </xf>
    <xf numFmtId="44" fontId="18" fillId="0" borderId="17" xfId="1" applyNumberFormat="1" applyFont="1" applyFill="1" applyBorder="1" applyAlignment="1">
      <alignment horizontal="center" vertical="top"/>
    </xf>
    <xf numFmtId="44" fontId="18" fillId="0" borderId="43" xfId="1" applyNumberFormat="1" applyFont="1" applyFill="1" applyBorder="1" applyAlignment="1">
      <alignment horizontal="center" vertical="top"/>
    </xf>
    <xf numFmtId="44" fontId="8" fillId="0" borderId="31" xfId="0" applyNumberFormat="1" applyFont="1" applyBorder="1"/>
    <xf numFmtId="0" fontId="6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" xfId="0" applyFont="1" applyFill="1" applyBorder="1"/>
    <xf numFmtId="0" fontId="2" fillId="0" borderId="3" xfId="0" applyFont="1" applyFill="1" applyBorder="1" applyAlignment="1">
      <alignment horizontal="center"/>
    </xf>
    <xf numFmtId="0" fontId="4" fillId="0" borderId="25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/>
    </xf>
    <xf numFmtId="166" fontId="2" fillId="0" borderId="7" xfId="0" applyNumberFormat="1" applyFont="1" applyFill="1" applyBorder="1"/>
    <xf numFmtId="0" fontId="2" fillId="0" borderId="2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1" fillId="0" borderId="0" xfId="5" applyFont="1" applyFill="1" applyAlignment="1">
      <alignment horizontal="center" vertical="center"/>
    </xf>
    <xf numFmtId="169" fontId="0" fillId="0" borderId="0" xfId="0" applyNumberFormat="1" applyFill="1"/>
    <xf numFmtId="164" fontId="2" fillId="0" borderId="0" xfId="0" applyNumberFormat="1" applyFont="1" applyFill="1" applyBorder="1"/>
    <xf numFmtId="0" fontId="2" fillId="0" borderId="0" xfId="0" applyFont="1" applyFill="1" applyBorder="1"/>
    <xf numFmtId="44" fontId="2" fillId="0" borderId="0" xfId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4" xfId="0" applyFont="1" applyFill="1" applyBorder="1"/>
    <xf numFmtId="44" fontId="2" fillId="0" borderId="14" xfId="1" applyFont="1" applyFill="1" applyBorder="1"/>
    <xf numFmtId="0" fontId="2" fillId="0" borderId="22" xfId="0" applyFont="1" applyFill="1" applyBorder="1" applyAlignment="1">
      <alignment horizontal="center"/>
    </xf>
    <xf numFmtId="44" fontId="11" fillId="0" borderId="0" xfId="1" applyFont="1" applyFill="1" applyBorder="1" applyAlignment="1">
      <alignment horizontal="center" vertical="top" wrapText="1"/>
    </xf>
    <xf numFmtId="44" fontId="21" fillId="0" borderId="0" xfId="1" applyFont="1" applyFill="1" applyBorder="1" applyAlignment="1">
      <alignment horizontal="center" vertical="top" wrapText="1"/>
    </xf>
    <xf numFmtId="167" fontId="22" fillId="0" borderId="18" xfId="0" applyNumberFormat="1" applyFont="1" applyFill="1" applyBorder="1" applyAlignment="1">
      <alignment horizontal="right" vertical="top"/>
    </xf>
    <xf numFmtId="44" fontId="9" fillId="0" borderId="18" xfId="1" applyFont="1" applyFill="1" applyBorder="1"/>
    <xf numFmtId="0" fontId="21" fillId="0" borderId="21" xfId="0" applyNumberFormat="1" applyFont="1" applyFill="1" applyBorder="1" applyAlignment="1">
      <alignment horizontal="center" vertical="top" wrapText="1"/>
    </xf>
    <xf numFmtId="167" fontId="21" fillId="0" borderId="21" xfId="0" applyNumberFormat="1" applyFont="1" applyFill="1" applyBorder="1" applyAlignment="1">
      <alignment horizontal="center" vertical="top"/>
    </xf>
    <xf numFmtId="167" fontId="23" fillId="0" borderId="18" xfId="0" applyNumberFormat="1" applyFont="1" applyFill="1" applyBorder="1" applyAlignment="1">
      <alignment horizontal="right" vertical="top"/>
    </xf>
    <xf numFmtId="44" fontId="0" fillId="0" borderId="18" xfId="1" applyFont="1" applyFill="1" applyBorder="1"/>
    <xf numFmtId="44" fontId="4" fillId="0" borderId="0" xfId="0" applyNumberFormat="1" applyFont="1" applyFill="1" applyBorder="1" applyAlignment="1">
      <alignment horizontal="right"/>
    </xf>
    <xf numFmtId="167" fontId="23" fillId="0" borderId="7" xfId="0" applyNumberFormat="1" applyFont="1" applyFill="1" applyBorder="1" applyAlignment="1">
      <alignment horizontal="right" vertical="top"/>
    </xf>
    <xf numFmtId="165" fontId="21" fillId="2" borderId="47" xfId="1" applyNumberFormat="1" applyFont="1" applyFill="1" applyBorder="1" applyAlignment="1">
      <alignment horizontal="right" wrapText="1"/>
    </xf>
    <xf numFmtId="4" fontId="24" fillId="0" borderId="21" xfId="0" applyNumberFormat="1" applyFont="1" applyFill="1" applyBorder="1" applyAlignment="1">
      <alignment horizontal="center" vertical="top" wrapText="1"/>
    </xf>
    <xf numFmtId="4" fontId="25" fillId="0" borderId="21" xfId="0" applyNumberFormat="1" applyFont="1" applyFill="1" applyBorder="1" applyAlignment="1">
      <alignment horizontal="center" vertical="top" wrapText="1"/>
    </xf>
    <xf numFmtId="167" fontId="25" fillId="0" borderId="21" xfId="0" applyNumberFormat="1" applyFont="1" applyFill="1" applyBorder="1" applyAlignment="1">
      <alignment horizontal="center" vertical="top"/>
    </xf>
    <xf numFmtId="44" fontId="0" fillId="0" borderId="7" xfId="1" applyFont="1" applyFill="1" applyBorder="1"/>
    <xf numFmtId="4" fontId="25" fillId="0" borderId="7" xfId="0" applyNumberFormat="1" applyFont="1" applyFill="1" applyBorder="1" applyAlignment="1">
      <alignment horizontal="center" vertical="top" wrapText="1"/>
    </xf>
    <xf numFmtId="167" fontId="25" fillId="0" borderId="7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right"/>
    </xf>
    <xf numFmtId="164" fontId="4" fillId="0" borderId="0" xfId="0" applyNumberFormat="1" applyFont="1" applyFill="1" applyBorder="1"/>
    <xf numFmtId="165" fontId="4" fillId="2" borderId="9" xfId="0" applyNumberFormat="1" applyFont="1" applyFill="1" applyBorder="1"/>
    <xf numFmtId="0" fontId="2" fillId="0" borderId="8" xfId="0" applyFont="1" applyFill="1" applyBorder="1"/>
    <xf numFmtId="165" fontId="2" fillId="2" borderId="9" xfId="0" applyNumberFormat="1" applyFont="1" applyFill="1" applyBorder="1"/>
    <xf numFmtId="0" fontId="4" fillId="2" borderId="7" xfId="0" applyFont="1" applyFill="1" applyBorder="1"/>
    <xf numFmtId="164" fontId="4" fillId="2" borderId="7" xfId="0" applyNumberFormat="1" applyFont="1" applyFill="1" applyBorder="1"/>
    <xf numFmtId="0" fontId="4" fillId="2" borderId="19" xfId="0" applyFont="1" applyFill="1" applyBorder="1" applyAlignment="1">
      <alignment horizontal="center"/>
    </xf>
    <xf numFmtId="170" fontId="28" fillId="0" borderId="7" xfId="0" applyNumberFormat="1" applyFont="1" applyFill="1" applyBorder="1"/>
    <xf numFmtId="164" fontId="28" fillId="0" borderId="7" xfId="0" applyNumberFormat="1" applyFont="1" applyFill="1" applyBorder="1"/>
    <xf numFmtId="0" fontId="28" fillId="0" borderId="7" xfId="0" applyFont="1" applyFill="1" applyBorder="1"/>
    <xf numFmtId="0" fontId="27" fillId="0" borderId="19" xfId="0" applyFont="1" applyFill="1" applyBorder="1" applyAlignment="1">
      <alignment horizontal="center" wrapText="1"/>
    </xf>
    <xf numFmtId="165" fontId="4" fillId="0" borderId="0" xfId="0" applyNumberFormat="1" applyFont="1" applyFill="1" applyBorder="1"/>
    <xf numFmtId="165" fontId="4" fillId="0" borderId="17" xfId="0" applyNumberFormat="1" applyFont="1" applyFill="1" applyBorder="1"/>
    <xf numFmtId="0" fontId="2" fillId="0" borderId="16" xfId="0" applyFont="1" applyFill="1" applyBorder="1"/>
    <xf numFmtId="164" fontId="2" fillId="0" borderId="16" xfId="0" applyNumberFormat="1" applyFont="1" applyFill="1" applyBorder="1"/>
    <xf numFmtId="0" fontId="2" fillId="0" borderId="10" xfId="0" applyFont="1" applyFill="1" applyBorder="1"/>
    <xf numFmtId="164" fontId="2" fillId="0" borderId="10" xfId="0" applyNumberFormat="1" applyFont="1" applyFill="1" applyBorder="1"/>
    <xf numFmtId="0" fontId="4" fillId="0" borderId="2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/>
    <xf numFmtId="0" fontId="2" fillId="0" borderId="38" xfId="0" applyFont="1" applyFill="1" applyBorder="1"/>
    <xf numFmtId="0" fontId="2" fillId="0" borderId="1" xfId="0" applyFont="1" applyFill="1" applyBorder="1"/>
    <xf numFmtId="0" fontId="27" fillId="0" borderId="20" xfId="0" applyFont="1" applyFill="1" applyBorder="1" applyAlignment="1">
      <alignment horizontal="center" wrapText="1"/>
    </xf>
    <xf numFmtId="171" fontId="0" fillId="0" borderId="32" xfId="0" applyNumberFormat="1" applyBorder="1"/>
    <xf numFmtId="44" fontId="0" fillId="0" borderId="66" xfId="0" applyNumberFormat="1" applyBorder="1"/>
    <xf numFmtId="0" fontId="0" fillId="0" borderId="21" xfId="0" applyFill="1" applyBorder="1"/>
    <xf numFmtId="0" fontId="0" fillId="0" borderId="65" xfId="0" applyFill="1" applyBorder="1"/>
    <xf numFmtId="0" fontId="0" fillId="0" borderId="0" xfId="0" applyFill="1" applyBorder="1"/>
    <xf numFmtId="171" fontId="6" fillId="2" borderId="7" xfId="0" applyNumberFormat="1" applyFont="1" applyFill="1" applyBorder="1" applyAlignment="1">
      <alignment horizontal="right" vertical="center" wrapText="1"/>
    </xf>
    <xf numFmtId="2" fontId="6" fillId="2" borderId="7" xfId="0" applyNumberFormat="1" applyFont="1" applyFill="1" applyBorder="1"/>
    <xf numFmtId="0" fontId="14" fillId="2" borderId="7" xfId="0" applyFont="1" applyFill="1" applyBorder="1" applyAlignment="1">
      <alignment vertical="top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wrapText="1"/>
    </xf>
    <xf numFmtId="0" fontId="6" fillId="2" borderId="7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44" fontId="0" fillId="0" borderId="0" xfId="0" applyNumberFormat="1" applyFill="1"/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30" xfId="0" applyFont="1" applyBorder="1" applyAlignment="1">
      <alignment horizontal="right"/>
    </xf>
    <xf numFmtId="44" fontId="6" fillId="0" borderId="0" xfId="0" applyNumberFormat="1" applyFont="1" applyFill="1" applyBorder="1"/>
    <xf numFmtId="44" fontId="6" fillId="0" borderId="73" xfId="0" applyNumberFormat="1" applyFont="1" applyFill="1" applyBorder="1"/>
    <xf numFmtId="0" fontId="6" fillId="0" borderId="67" xfId="0" applyFont="1" applyFill="1" applyBorder="1" applyAlignment="1">
      <alignment horizontal="center"/>
    </xf>
    <xf numFmtId="44" fontId="6" fillId="0" borderId="16" xfId="0" applyNumberFormat="1" applyFont="1" applyFill="1" applyBorder="1"/>
    <xf numFmtId="0" fontId="18" fillId="0" borderId="16" xfId="1" applyNumberFormat="1" applyFont="1" applyFill="1" applyBorder="1" applyAlignment="1">
      <alignment horizontal="center" vertical="top"/>
    </xf>
    <xf numFmtId="0" fontId="6" fillId="0" borderId="12" xfId="0" applyFont="1" applyFill="1" applyBorder="1"/>
    <xf numFmtId="44" fontId="0" fillId="0" borderId="0" xfId="0" applyNumberFormat="1"/>
    <xf numFmtId="0" fontId="6" fillId="0" borderId="44" xfId="0" applyFont="1" applyFill="1" applyBorder="1" applyAlignment="1">
      <alignment horizontal="center"/>
    </xf>
    <xf numFmtId="44" fontId="6" fillId="0" borderId="44" xfId="0" applyNumberFormat="1" applyFont="1" applyFill="1" applyBorder="1" applyAlignment="1">
      <alignment horizontal="center"/>
    </xf>
    <xf numFmtId="44" fontId="18" fillId="0" borderId="45" xfId="0" applyNumberFormat="1" applyFont="1" applyFill="1" applyBorder="1" applyAlignment="1">
      <alignment horizontal="center" vertical="top" wrapText="1"/>
    </xf>
    <xf numFmtId="0" fontId="18" fillId="0" borderId="45" xfId="1" applyNumberFormat="1" applyFont="1" applyFill="1" applyBorder="1" applyAlignment="1">
      <alignment horizontal="center" vertical="top"/>
    </xf>
    <xf numFmtId="165" fontId="0" fillId="0" borderId="0" xfId="0" applyNumberFormat="1" applyFill="1"/>
    <xf numFmtId="0" fontId="12" fillId="0" borderId="0" xfId="4"/>
    <xf numFmtId="0" fontId="12" fillId="0" borderId="0" xfId="4" applyFill="1"/>
    <xf numFmtId="0" fontId="32" fillId="0" borderId="48" xfId="4" applyFont="1" applyFill="1" applyBorder="1"/>
    <xf numFmtId="44" fontId="33" fillId="0" borderId="47" xfId="4" applyNumberFormat="1" applyFont="1" applyFill="1" applyBorder="1"/>
    <xf numFmtId="0" fontId="33" fillId="0" borderId="18" xfId="4" applyFont="1" applyFill="1" applyBorder="1"/>
    <xf numFmtId="0" fontId="33" fillId="0" borderId="18" xfId="4" applyNumberFormat="1" applyFont="1" applyFill="1" applyBorder="1" applyAlignment="1">
      <alignment horizontal="center" vertical="top" wrapText="1"/>
    </xf>
    <xf numFmtId="0" fontId="33" fillId="0" borderId="49" xfId="4" applyFont="1" applyFill="1" applyBorder="1" applyAlignment="1">
      <alignment vertical="top" wrapText="1"/>
    </xf>
    <xf numFmtId="44" fontId="33" fillId="0" borderId="9" xfId="4" applyNumberFormat="1" applyFont="1" applyFill="1" applyBorder="1"/>
    <xf numFmtId="0" fontId="33" fillId="0" borderId="7" xfId="4" applyFont="1" applyFill="1" applyBorder="1"/>
    <xf numFmtId="0" fontId="33" fillId="0" borderId="7" xfId="4" applyNumberFormat="1" applyFont="1" applyFill="1" applyBorder="1" applyAlignment="1">
      <alignment horizontal="center" vertical="top" wrapText="1"/>
    </xf>
    <xf numFmtId="0" fontId="33" fillId="0" borderId="8" xfId="4" applyFont="1" applyFill="1" applyBorder="1" applyAlignment="1">
      <alignment vertical="top" wrapText="1"/>
    </xf>
    <xf numFmtId="0" fontId="33" fillId="0" borderId="8" xfId="4" applyFont="1" applyFill="1" applyBorder="1" applyAlignment="1">
      <alignment horizontal="justify" vertical="top" wrapText="1"/>
    </xf>
    <xf numFmtId="44" fontId="33" fillId="0" borderId="17" xfId="4" applyNumberFormat="1" applyFont="1" applyFill="1" applyBorder="1"/>
    <xf numFmtId="0" fontId="33" fillId="0" borderId="16" xfId="4" applyFont="1" applyFill="1" applyBorder="1"/>
    <xf numFmtId="0" fontId="16" fillId="0" borderId="0" xfId="5" applyFont="1" applyFill="1" applyBorder="1" applyAlignment="1">
      <alignment horizontal="center" vertical="center" wrapText="1"/>
    </xf>
    <xf numFmtId="0" fontId="16" fillId="0" borderId="0" xfId="5" applyFont="1" applyFill="1" applyBorder="1" applyAlignment="1">
      <alignment horizontal="left" vertical="center" wrapText="1"/>
    </xf>
    <xf numFmtId="0" fontId="11" fillId="0" borderId="0" xfId="5" applyFont="1" applyBorder="1" applyAlignment="1">
      <alignment vertical="top"/>
    </xf>
    <xf numFmtId="0" fontId="21" fillId="0" borderId="0" xfId="5" applyFont="1" applyFill="1" applyAlignment="1">
      <alignment horizontal="center" vertical="center"/>
    </xf>
    <xf numFmtId="172" fontId="6" fillId="2" borderId="9" xfId="0" applyNumberFormat="1" applyFont="1" applyFill="1" applyBorder="1" applyAlignment="1">
      <alignment horizontal="right" vertical="center" wrapText="1"/>
    </xf>
    <xf numFmtId="172" fontId="4" fillId="2" borderId="35" xfId="0" applyNumberFormat="1" applyFont="1" applyFill="1" applyBorder="1" applyAlignment="1">
      <alignment horizontal="right" vertical="center" wrapText="1"/>
    </xf>
    <xf numFmtId="5" fontId="4" fillId="0" borderId="35" xfId="0" applyNumberFormat="1" applyFont="1" applyFill="1" applyBorder="1" applyAlignment="1">
      <alignment horizontal="right" vertical="center" wrapText="1"/>
    </xf>
    <xf numFmtId="172" fontId="6" fillId="0" borderId="16" xfId="0" applyNumberFormat="1" applyFont="1" applyFill="1" applyBorder="1" applyAlignment="1">
      <alignment wrapText="1"/>
    </xf>
    <xf numFmtId="172" fontId="6" fillId="0" borderId="7" xfId="0" applyNumberFormat="1" applyFont="1" applyFill="1" applyBorder="1" applyAlignment="1">
      <alignment wrapText="1"/>
    </xf>
    <xf numFmtId="172" fontId="6" fillId="0" borderId="9" xfId="0" applyNumberFormat="1" applyFont="1" applyFill="1" applyBorder="1" applyAlignment="1">
      <alignment wrapText="1"/>
    </xf>
    <xf numFmtId="42" fontId="6" fillId="0" borderId="16" xfId="1" applyNumberFormat="1" applyFont="1" applyFill="1" applyBorder="1" applyAlignment="1">
      <alignment horizontal="center"/>
    </xf>
    <xf numFmtId="42" fontId="18" fillId="0" borderId="17" xfId="1" applyNumberFormat="1" applyFont="1" applyFill="1" applyBorder="1" applyAlignment="1">
      <alignment horizontal="center" vertical="top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42" fontId="6" fillId="0" borderId="17" xfId="0" applyNumberFormat="1" applyFont="1" applyFill="1" applyBorder="1" applyAlignment="1">
      <alignment horizontal="center" vertical="center" wrapText="1"/>
    </xf>
    <xf numFmtId="42" fontId="6" fillId="0" borderId="9" xfId="0" applyNumberFormat="1" applyFont="1" applyFill="1" applyBorder="1" applyAlignment="1">
      <alignment horizontal="center" vertical="center" wrapText="1"/>
    </xf>
    <xf numFmtId="42" fontId="6" fillId="0" borderId="47" xfId="0" applyNumberFormat="1" applyFont="1" applyFill="1" applyBorder="1" applyAlignment="1">
      <alignment horizontal="center" vertical="center" wrapText="1"/>
    </xf>
    <xf numFmtId="42" fontId="7" fillId="0" borderId="35" xfId="0" applyNumberFormat="1" applyFont="1" applyFill="1" applyBorder="1" applyAlignment="1">
      <alignment horizontal="center" vertical="center" wrapText="1"/>
    </xf>
    <xf numFmtId="42" fontId="8" fillId="0" borderId="31" xfId="0" applyNumberFormat="1" applyFont="1" applyFill="1" applyBorder="1"/>
    <xf numFmtId="42" fontId="4" fillId="0" borderId="31" xfId="0" applyNumberFormat="1" applyFont="1" applyFill="1" applyBorder="1" applyAlignment="1">
      <alignment horizontal="center"/>
    </xf>
    <xf numFmtId="0" fontId="27" fillId="0" borderId="32" xfId="0" applyFont="1" applyFill="1" applyBorder="1" applyAlignment="1">
      <alignment horizontal="center" wrapText="1"/>
    </xf>
    <xf numFmtId="164" fontId="28" fillId="0" borderId="18" xfId="0" applyNumberFormat="1" applyFont="1" applyFill="1" applyBorder="1"/>
    <xf numFmtId="0" fontId="27" fillId="0" borderId="19" xfId="0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right" vertical="center" wrapText="1"/>
    </xf>
    <xf numFmtId="172" fontId="2" fillId="0" borderId="16" xfId="0" applyNumberFormat="1" applyFont="1" applyFill="1" applyBorder="1" applyAlignment="1">
      <alignment horizontal="right" vertical="center" wrapText="1"/>
    </xf>
    <xf numFmtId="172" fontId="2" fillId="0" borderId="7" xfId="0" applyNumberFormat="1" applyFont="1" applyFill="1" applyBorder="1" applyAlignment="1">
      <alignment horizontal="right" vertical="center" wrapText="1"/>
    </xf>
    <xf numFmtId="172" fontId="2" fillId="0" borderId="18" xfId="0" applyNumberFormat="1" applyFont="1" applyFill="1" applyBorder="1" applyAlignment="1">
      <alignment horizontal="right" vertical="center" wrapText="1"/>
    </xf>
    <xf numFmtId="172" fontId="6" fillId="0" borderId="11" xfId="0" applyNumberFormat="1" applyFont="1" applyFill="1" applyBorder="1" applyAlignment="1">
      <alignment horizontal="right" vertical="center" wrapText="1"/>
    </xf>
    <xf numFmtId="172" fontId="6" fillId="0" borderId="17" xfId="0" applyNumberFormat="1" applyFont="1" applyFill="1" applyBorder="1" applyAlignment="1">
      <alignment horizontal="right" vertical="center" wrapText="1"/>
    </xf>
    <xf numFmtId="172" fontId="6" fillId="0" borderId="9" xfId="0" applyNumberFormat="1" applyFont="1" applyFill="1" applyBorder="1" applyAlignment="1">
      <alignment horizontal="right" vertical="center" wrapText="1"/>
    </xf>
    <xf numFmtId="172" fontId="8" fillId="0" borderId="15" xfId="0" applyNumberFormat="1" applyFont="1" applyFill="1" applyBorder="1" applyAlignment="1">
      <alignment horizontal="right" vertical="center" wrapText="1"/>
    </xf>
    <xf numFmtId="172" fontId="6" fillId="0" borderId="9" xfId="0" applyNumberFormat="1" applyFont="1" applyFill="1" applyBorder="1" applyAlignment="1">
      <alignment horizontal="right"/>
    </xf>
    <xf numFmtId="172" fontId="8" fillId="0" borderId="43" xfId="0" applyNumberFormat="1" applyFont="1" applyFill="1" applyBorder="1" applyAlignment="1">
      <alignment horizontal="right" vertical="center" wrapText="1"/>
    </xf>
    <xf numFmtId="172" fontId="4" fillId="0" borderId="35" xfId="0" applyNumberFormat="1" applyFont="1" applyFill="1" applyBorder="1" applyAlignment="1">
      <alignment horizontal="right"/>
    </xf>
    <xf numFmtId="165" fontId="27" fillId="2" borderId="9" xfId="0" applyNumberFormat="1" applyFont="1" applyFill="1" applyBorder="1"/>
    <xf numFmtId="165" fontId="11" fillId="2" borderId="9" xfId="1" applyNumberFormat="1" applyFont="1" applyFill="1" applyBorder="1" applyAlignment="1">
      <alignment horizontal="center" vertical="top" wrapText="1"/>
    </xf>
    <xf numFmtId="165" fontId="21" fillId="2" borderId="47" xfId="1" applyNumberFormat="1" applyFont="1" applyFill="1" applyBorder="1" applyAlignment="1">
      <alignment horizontal="right" vertical="center" wrapText="1"/>
    </xf>
    <xf numFmtId="165" fontId="11" fillId="2" borderId="47" xfId="1" applyNumberFormat="1" applyFont="1" applyFill="1" applyBorder="1" applyAlignment="1">
      <alignment horizontal="center" vertical="top" wrapText="1"/>
    </xf>
    <xf numFmtId="165" fontId="11" fillId="2" borderId="9" xfId="1" applyNumberFormat="1" applyFont="1" applyFill="1" applyBorder="1" applyAlignment="1">
      <alignment horizontal="right" wrapText="1"/>
    </xf>
    <xf numFmtId="165" fontId="4" fillId="2" borderId="70" xfId="0" applyNumberFormat="1" applyFont="1" applyFill="1" applyBorder="1" applyAlignment="1">
      <alignment horizontal="right"/>
    </xf>
    <xf numFmtId="165" fontId="21" fillId="2" borderId="43" xfId="1" applyNumberFormat="1" applyFont="1" applyFill="1" applyBorder="1" applyAlignment="1">
      <alignment horizontal="right" wrapText="1"/>
    </xf>
    <xf numFmtId="165" fontId="2" fillId="2" borderId="15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173" fontId="0" fillId="0" borderId="0" xfId="0" applyNumberFormat="1" applyAlignment="1">
      <alignment horizontal="left"/>
    </xf>
    <xf numFmtId="0" fontId="5" fillId="0" borderId="0" xfId="0" applyFont="1" applyFill="1" applyAlignment="1">
      <alignment horizontal="center"/>
    </xf>
    <xf numFmtId="0" fontId="2" fillId="3" borderId="7" xfId="0" applyFont="1" applyFill="1" applyBorder="1" applyAlignment="1">
      <alignment wrapText="1"/>
    </xf>
    <xf numFmtId="0" fontId="6" fillId="3" borderId="7" xfId="0" applyFont="1" applyFill="1" applyBorder="1" applyAlignment="1">
      <alignment horizontal="center" wrapText="1"/>
    </xf>
    <xf numFmtId="172" fontId="6" fillId="3" borderId="7" xfId="0" applyNumberFormat="1" applyFont="1" applyFill="1" applyBorder="1" applyAlignment="1">
      <alignment wrapText="1"/>
    </xf>
    <xf numFmtId="165" fontId="28" fillId="2" borderId="9" xfId="0" applyNumberFormat="1" applyFont="1" applyFill="1" applyBorder="1"/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6" fillId="2" borderId="8" xfId="0" applyFont="1" applyFill="1" applyBorder="1" applyAlignment="1">
      <alignment horizontal="center" vertical="center" wrapText="1"/>
    </xf>
    <xf numFmtId="0" fontId="0" fillId="0" borderId="0" xfId="0" applyAlignment="1"/>
    <xf numFmtId="174" fontId="0" fillId="0" borderId="19" xfId="0" applyNumberFormat="1" applyBorder="1"/>
    <xf numFmtId="0" fontId="0" fillId="0" borderId="19" xfId="0" applyBorder="1" applyAlignment="1"/>
    <xf numFmtId="174" fontId="0" fillId="0" borderId="32" xfId="0" applyNumberFormat="1" applyBorder="1"/>
    <xf numFmtId="0" fontId="0" fillId="0" borderId="20" xfId="0" applyBorder="1" applyAlignment="1"/>
    <xf numFmtId="0" fontId="0" fillId="0" borderId="32" xfId="0" applyBorder="1" applyAlignment="1"/>
    <xf numFmtId="174" fontId="0" fillId="0" borderId="21" xfId="0" applyNumberFormat="1" applyBorder="1"/>
    <xf numFmtId="0" fontId="0" fillId="0" borderId="21" xfId="0" applyBorder="1" applyAlignment="1"/>
    <xf numFmtId="0" fontId="0" fillId="0" borderId="0" xfId="0" applyFill="1" applyAlignment="1"/>
    <xf numFmtId="0" fontId="2" fillId="0" borderId="34" xfId="0" applyFont="1" applyFill="1" applyBorder="1" applyAlignment="1">
      <alignment vertical="center" wrapText="1"/>
    </xf>
    <xf numFmtId="172" fontId="6" fillId="2" borderId="7" xfId="0" applyNumberFormat="1" applyFont="1" applyFill="1" applyBorder="1" applyAlignment="1">
      <alignment vertical="center" wrapText="1"/>
    </xf>
    <xf numFmtId="172" fontId="0" fillId="0" borderId="0" xfId="0" applyNumberFormat="1"/>
    <xf numFmtId="0" fontId="4" fillId="2" borderId="34" xfId="0" applyFont="1" applyFill="1" applyBorder="1" applyAlignment="1">
      <alignment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wrapText="1"/>
    </xf>
    <xf numFmtId="0" fontId="9" fillId="0" borderId="33" xfId="0" applyFont="1" applyBorder="1" applyAlignment="1">
      <alignment horizontal="center" vertical="center" wrapText="1"/>
    </xf>
    <xf numFmtId="172" fontId="6" fillId="2" borderId="47" xfId="0" applyNumberFormat="1" applyFont="1" applyFill="1" applyBorder="1" applyAlignment="1">
      <alignment horizontal="right" vertical="center" wrapText="1"/>
    </xf>
    <xf numFmtId="172" fontId="6" fillId="2" borderId="18" xfId="0" applyNumberFormat="1" applyFont="1" applyFill="1" applyBorder="1" applyAlignment="1">
      <alignment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/>
    <xf numFmtId="172" fontId="6" fillId="2" borderId="7" xfId="0" applyNumberFormat="1" applyFont="1" applyFill="1" applyBorder="1" applyAlignment="1">
      <alignment wrapText="1"/>
    </xf>
    <xf numFmtId="172" fontId="2" fillId="2" borderId="16" xfId="0" applyNumberFormat="1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5" fillId="0" borderId="0" xfId="0" applyFont="1" applyFill="1" applyAlignment="1"/>
    <xf numFmtId="0" fontId="2" fillId="0" borderId="0" xfId="0" applyFont="1" applyFill="1" applyAlignment="1"/>
    <xf numFmtId="0" fontId="2" fillId="0" borderId="7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horizontal="right" wrapText="1"/>
    </xf>
    <xf numFmtId="172" fontId="8" fillId="3" borderId="9" xfId="0" applyNumberFormat="1" applyFont="1" applyFill="1" applyBorder="1" applyAlignment="1">
      <alignment horizontal="right" vertical="center" wrapText="1"/>
    </xf>
    <xf numFmtId="172" fontId="8" fillId="3" borderId="9" xfId="0" applyNumberFormat="1" applyFont="1" applyFill="1" applyBorder="1" applyAlignment="1">
      <alignment horizontal="right" wrapText="1"/>
    </xf>
    <xf numFmtId="172" fontId="4" fillId="0" borderId="35" xfId="0" applyNumberFormat="1" applyFont="1" applyFill="1" applyBorder="1" applyAlignment="1">
      <alignment horizontal="right" vertical="center" wrapText="1"/>
    </xf>
    <xf numFmtId="172" fontId="7" fillId="2" borderId="35" xfId="0" applyNumberFormat="1" applyFont="1" applyFill="1" applyBorder="1" applyAlignment="1">
      <alignment horizontal="right" vertical="center" wrapText="1"/>
    </xf>
    <xf numFmtId="5" fontId="2" fillId="0" borderId="17" xfId="0" applyNumberFormat="1" applyFont="1" applyFill="1" applyBorder="1" applyAlignment="1">
      <alignment horizontal="right" vertical="center" wrapText="1"/>
    </xf>
    <xf numFmtId="5" fontId="4" fillId="0" borderId="9" xfId="0" applyNumberFormat="1" applyFont="1" applyFill="1" applyBorder="1" applyAlignment="1">
      <alignment horizontal="right" vertical="center" wrapText="1"/>
    </xf>
    <xf numFmtId="5" fontId="2" fillId="0" borderId="9" xfId="0" applyNumberFormat="1" applyFont="1" applyFill="1" applyBorder="1" applyAlignment="1">
      <alignment horizontal="right" vertical="center" wrapText="1"/>
    </xf>
    <xf numFmtId="5" fontId="4" fillId="0" borderId="17" xfId="0" applyNumberFormat="1" applyFont="1" applyFill="1" applyBorder="1" applyAlignment="1">
      <alignment horizontal="right" vertical="center" wrapText="1"/>
    </xf>
    <xf numFmtId="5" fontId="2" fillId="0" borderId="47" xfId="0" applyNumberFormat="1" applyFont="1" applyFill="1" applyBorder="1" applyAlignment="1">
      <alignment horizontal="right" vertical="center" wrapText="1"/>
    </xf>
    <xf numFmtId="5" fontId="7" fillId="0" borderId="35" xfId="0" applyNumberFormat="1" applyFont="1" applyFill="1" applyBorder="1" applyAlignment="1">
      <alignment horizontal="right" vertical="center" wrapText="1"/>
    </xf>
    <xf numFmtId="172" fontId="8" fillId="0" borderId="17" xfId="0" applyNumberFormat="1" applyFont="1" applyFill="1" applyBorder="1" applyAlignment="1">
      <alignment wrapText="1"/>
    </xf>
    <xf numFmtId="172" fontId="8" fillId="0" borderId="9" xfId="0" applyNumberFormat="1" applyFont="1" applyFill="1" applyBorder="1" applyAlignment="1">
      <alignment wrapText="1"/>
    </xf>
    <xf numFmtId="172" fontId="8" fillId="3" borderId="9" xfId="0" applyNumberFormat="1" applyFont="1" applyFill="1" applyBorder="1" applyAlignment="1">
      <alignment wrapText="1"/>
    </xf>
    <xf numFmtId="0" fontId="2" fillId="3" borderId="41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4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72" fontId="6" fillId="0" borderId="7" xfId="0" applyNumberFormat="1" applyFont="1" applyBorder="1"/>
    <xf numFmtId="0" fontId="6" fillId="0" borderId="7" xfId="0" applyNumberFormat="1" applyFont="1" applyBorder="1"/>
    <xf numFmtId="172" fontId="6" fillId="0" borderId="9" xfId="0" applyNumberFormat="1" applyFont="1" applyBorder="1"/>
    <xf numFmtId="172" fontId="6" fillId="0" borderId="18" xfId="0" applyNumberFormat="1" applyFont="1" applyBorder="1"/>
    <xf numFmtId="172" fontId="6" fillId="0" borderId="47" xfId="0" applyNumberFormat="1" applyFont="1" applyBorder="1"/>
    <xf numFmtId="0" fontId="8" fillId="0" borderId="33" xfId="0" applyFont="1" applyBorder="1"/>
    <xf numFmtId="172" fontId="8" fillId="0" borderId="35" xfId="0" applyNumberFormat="1" applyFont="1" applyBorder="1"/>
    <xf numFmtId="0" fontId="6" fillId="0" borderId="49" xfId="0" applyFont="1" applyFill="1" applyBorder="1"/>
    <xf numFmtId="0" fontId="18" fillId="0" borderId="18" xfId="1" applyNumberFormat="1" applyFont="1" applyFill="1" applyBorder="1" applyAlignment="1">
      <alignment horizontal="center" vertical="top"/>
    </xf>
    <xf numFmtId="44" fontId="18" fillId="0" borderId="18" xfId="0" applyNumberFormat="1" applyFont="1" applyFill="1" applyBorder="1" applyAlignment="1">
      <alignment horizontal="center" vertical="top" wrapText="1"/>
    </xf>
    <xf numFmtId="44" fontId="6" fillId="0" borderId="18" xfId="0" applyNumberFormat="1" applyFont="1" applyFill="1" applyBorder="1"/>
    <xf numFmtId="0" fontId="6" fillId="0" borderId="65" xfId="0" applyFont="1" applyFill="1" applyBorder="1" applyAlignment="1">
      <alignment horizontal="center"/>
    </xf>
    <xf numFmtId="44" fontId="6" fillId="0" borderId="74" xfId="0" applyNumberFormat="1" applyFont="1" applyFill="1" applyBorder="1"/>
    <xf numFmtId="44" fontId="8" fillId="0" borderId="31" xfId="0" applyNumberFormat="1" applyFont="1" applyFill="1" applyBorder="1"/>
    <xf numFmtId="172" fontId="8" fillId="0" borderId="34" xfId="0" applyNumberFormat="1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8" fillId="0" borderId="30" xfId="0" applyFont="1" applyBorder="1"/>
    <xf numFmtId="44" fontId="31" fillId="0" borderId="31" xfId="4" applyNumberFormat="1" applyFont="1" applyFill="1" applyBorder="1"/>
    <xf numFmtId="0" fontId="14" fillId="2" borderId="18" xfId="0" applyFont="1" applyFill="1" applyBorder="1" applyAlignment="1">
      <alignment vertical="top" wrapText="1"/>
    </xf>
    <xf numFmtId="2" fontId="6" fillId="2" borderId="18" xfId="0" applyNumberFormat="1" applyFont="1" applyFill="1" applyBorder="1"/>
    <xf numFmtId="0" fontId="4" fillId="0" borderId="33" xfId="0" applyFont="1" applyFill="1" applyBorder="1" applyAlignment="1">
      <alignment vertical="top" wrapText="1"/>
    </xf>
    <xf numFmtId="44" fontId="27" fillId="0" borderId="35" xfId="0" applyNumberFormat="1" applyFont="1" applyFill="1" applyBorder="1" applyAlignment="1">
      <alignment horizontal="right" wrapText="1"/>
    </xf>
    <xf numFmtId="0" fontId="20" fillId="0" borderId="34" xfId="0" applyFont="1" applyFill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29" fillId="0" borderId="38" xfId="0" applyFont="1" applyFill="1" applyBorder="1"/>
    <xf numFmtId="0" fontId="29" fillId="0" borderId="3" xfId="0" applyFont="1" applyFill="1" applyBorder="1"/>
    <xf numFmtId="0" fontId="2" fillId="0" borderId="75" xfId="0" applyFont="1" applyFill="1" applyBorder="1"/>
    <xf numFmtId="0" fontId="2" fillId="0" borderId="76" xfId="0" applyFont="1" applyFill="1" applyBorder="1"/>
    <xf numFmtId="0" fontId="2" fillId="0" borderId="76" xfId="0" applyFont="1" applyFill="1" applyBorder="1" applyAlignment="1">
      <alignment horizontal="right"/>
    </xf>
    <xf numFmtId="0" fontId="26" fillId="0" borderId="76" xfId="0" applyFont="1" applyFill="1" applyBorder="1"/>
    <xf numFmtId="0" fontId="26" fillId="0" borderId="77" xfId="0" applyFont="1" applyFill="1" applyBorder="1"/>
    <xf numFmtId="0" fontId="2" fillId="0" borderId="77" xfId="0" applyFont="1" applyFill="1" applyBorder="1"/>
    <xf numFmtId="0" fontId="2" fillId="0" borderId="59" xfId="0" applyFont="1" applyFill="1" applyBorder="1"/>
    <xf numFmtId="0" fontId="4" fillId="0" borderId="46" xfId="0" applyFont="1" applyFill="1" applyBorder="1"/>
    <xf numFmtId="0" fontId="4" fillId="0" borderId="12" xfId="0" applyFont="1" applyFill="1" applyBorder="1"/>
    <xf numFmtId="0" fontId="4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horizontal="left" wrapText="1"/>
    </xf>
    <xf numFmtId="0" fontId="4" fillId="0" borderId="8" xfId="0" applyFont="1" applyFill="1" applyBorder="1"/>
    <xf numFmtId="0" fontId="2" fillId="0" borderId="8" xfId="0" applyFont="1" applyFill="1" applyBorder="1" applyAlignment="1">
      <alignment horizontal="center"/>
    </xf>
    <xf numFmtId="0" fontId="27" fillId="0" borderId="8" xfId="0" applyFont="1" applyFill="1" applyBorder="1" applyAlignment="1">
      <alignment horizontal="left" wrapText="1"/>
    </xf>
    <xf numFmtId="0" fontId="27" fillId="0" borderId="12" xfId="0" applyFont="1" applyFill="1" applyBorder="1" applyAlignment="1">
      <alignment horizontal="left" wrapText="1"/>
    </xf>
    <xf numFmtId="0" fontId="27" fillId="0" borderId="41" xfId="0" applyFont="1" applyFill="1" applyBorder="1" applyAlignment="1">
      <alignment horizontal="left" wrapText="1"/>
    </xf>
    <xf numFmtId="0" fontId="27" fillId="0" borderId="8" xfId="0" applyFont="1" applyFill="1" applyBorder="1" applyAlignment="1">
      <alignment wrapText="1"/>
    </xf>
    <xf numFmtId="0" fontId="4" fillId="2" borderId="8" xfId="0" applyFont="1" applyFill="1" applyBorder="1"/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49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left" wrapText="1"/>
    </xf>
    <xf numFmtId="0" fontId="4" fillId="0" borderId="49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/>
    </xf>
    <xf numFmtId="0" fontId="14" fillId="0" borderId="69" xfId="5" applyFont="1" applyFill="1" applyBorder="1" applyAlignment="1">
      <alignment horizontal="left" vertical="top" wrapText="1"/>
    </xf>
    <xf numFmtId="0" fontId="33" fillId="0" borderId="7" xfId="4" applyFont="1" applyFill="1" applyBorder="1" applyAlignment="1">
      <alignment horizontal="center" vertical="top" wrapText="1"/>
    </xf>
    <xf numFmtId="0" fontId="33" fillId="0" borderId="18" xfId="4" applyFont="1" applyFill="1" applyBorder="1" applyAlignment="1">
      <alignment horizontal="center" vertical="top" wrapText="1"/>
    </xf>
    <xf numFmtId="0" fontId="33" fillId="0" borderId="14" xfId="4" applyFont="1" applyFill="1" applyBorder="1" applyAlignment="1">
      <alignment horizontal="center" vertical="top" wrapText="1"/>
    </xf>
    <xf numFmtId="3" fontId="6" fillId="0" borderId="7" xfId="0" applyNumberFormat="1" applyFont="1" applyBorder="1"/>
    <xf numFmtId="3" fontId="6" fillId="0" borderId="18" xfId="0" applyNumberFormat="1" applyFont="1" applyBorder="1"/>
    <xf numFmtId="165" fontId="6" fillId="0" borderId="11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9" fillId="0" borderId="46" xfId="0" applyFont="1" applyFill="1" applyBorder="1" applyAlignment="1">
      <alignment horizontal="left" vertical="center" wrapText="1"/>
    </xf>
    <xf numFmtId="165" fontId="6" fillId="0" borderId="10" xfId="0" applyNumberFormat="1" applyFont="1" applyFill="1" applyBorder="1" applyAlignment="1">
      <alignment vertical="center" wrapText="1"/>
    </xf>
    <xf numFmtId="164" fontId="6" fillId="0" borderId="16" xfId="0" applyNumberFormat="1" applyFont="1" applyFill="1" applyBorder="1" applyAlignment="1"/>
    <xf numFmtId="0" fontId="32" fillId="0" borderId="14" xfId="4" applyFont="1" applyFill="1" applyBorder="1" applyAlignment="1">
      <alignment horizontal="center"/>
    </xf>
    <xf numFmtId="0" fontId="31" fillId="0" borderId="14" xfId="4" applyFont="1" applyFill="1" applyBorder="1" applyAlignment="1">
      <alignment horizontal="center"/>
    </xf>
    <xf numFmtId="0" fontId="2" fillId="2" borderId="8" xfId="0" applyFont="1" applyFill="1" applyBorder="1" applyAlignment="1">
      <alignment wrapText="1"/>
    </xf>
    <xf numFmtId="0" fontId="2" fillId="2" borderId="19" xfId="0" applyFont="1" applyFill="1" applyBorder="1" applyAlignment="1">
      <alignment horizontal="center" wrapText="1"/>
    </xf>
    <xf numFmtId="164" fontId="2" fillId="2" borderId="7" xfId="0" applyNumberFormat="1" applyFont="1" applyFill="1" applyBorder="1"/>
    <xf numFmtId="0" fontId="2" fillId="2" borderId="7" xfId="0" applyFont="1" applyFill="1" applyBorder="1"/>
    <xf numFmtId="0" fontId="6" fillId="0" borderId="16" xfId="0" applyFont="1" applyFill="1" applyBorder="1" applyAlignment="1">
      <alignment vertical="center" wrapText="1"/>
    </xf>
    <xf numFmtId="0" fontId="6" fillId="0" borderId="7" xfId="0" applyNumberFormat="1" applyFont="1" applyFill="1" applyBorder="1" applyAlignment="1"/>
    <xf numFmtId="2" fontId="6" fillId="0" borderId="7" xfId="0" applyNumberFormat="1" applyFont="1" applyFill="1" applyBorder="1" applyAlignment="1"/>
    <xf numFmtId="2" fontId="6" fillId="0" borderId="16" xfId="0" applyNumberFormat="1" applyFont="1" applyFill="1" applyBorder="1" applyAlignment="1">
      <alignment vertical="center" wrapText="1"/>
    </xf>
    <xf numFmtId="165" fontId="6" fillId="0" borderId="17" xfId="0" applyNumberFormat="1" applyFont="1" applyFill="1" applyBorder="1" applyAlignment="1">
      <alignment horizontal="right" vertical="center" wrapText="1"/>
    </xf>
    <xf numFmtId="44" fontId="6" fillId="0" borderId="9" xfId="0" applyNumberFormat="1" applyFont="1" applyFill="1" applyBorder="1" applyAlignment="1">
      <alignment horizontal="right"/>
    </xf>
    <xf numFmtId="0" fontId="6" fillId="2" borderId="1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left" vertical="center" wrapText="1"/>
    </xf>
    <xf numFmtId="2" fontId="6" fillId="2" borderId="18" xfId="0" applyNumberFormat="1" applyFont="1" applyFill="1" applyBorder="1" applyAlignment="1">
      <alignment horizontal="right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175" fontId="2" fillId="0" borderId="0" xfId="0" applyNumberFormat="1" applyFont="1" applyFill="1" applyBorder="1"/>
    <xf numFmtId="0" fontId="6" fillId="0" borderId="78" xfId="0" applyFont="1" applyFill="1" applyBorder="1" applyAlignment="1">
      <alignment horizontal="center"/>
    </xf>
    <xf numFmtId="0" fontId="6" fillId="0" borderId="76" xfId="0" applyFont="1" applyFill="1" applyBorder="1" applyAlignment="1">
      <alignment horizontal="center"/>
    </xf>
    <xf numFmtId="0" fontId="6" fillId="0" borderId="68" xfId="0" applyFont="1" applyBorder="1"/>
    <xf numFmtId="0" fontId="2" fillId="0" borderId="24" xfId="0" applyFont="1" applyFill="1" applyBorder="1" applyAlignment="1">
      <alignment horizontal="center"/>
    </xf>
    <xf numFmtId="0" fontId="2" fillId="0" borderId="71" xfId="0" applyFont="1" applyFill="1" applyBorder="1"/>
    <xf numFmtId="0" fontId="4" fillId="0" borderId="10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172" fontId="4" fillId="2" borderId="9" xfId="0" applyNumberFormat="1" applyFont="1" applyFill="1" applyBorder="1"/>
    <xf numFmtId="172" fontId="28" fillId="2" borderId="9" xfId="0" applyNumberFormat="1" applyFont="1" applyFill="1" applyBorder="1"/>
    <xf numFmtId="172" fontId="2" fillId="2" borderId="9" xfId="0" applyNumberFormat="1" applyFont="1" applyFill="1" applyBorder="1"/>
    <xf numFmtId="172" fontId="27" fillId="2" borderId="9" xfId="0" applyNumberFormat="1" applyFont="1" applyFill="1" applyBorder="1"/>
    <xf numFmtId="165" fontId="2" fillId="2" borderId="7" xfId="0" applyNumberFormat="1" applyFont="1" applyFill="1" applyBorder="1" applyAlignment="1">
      <alignment wrapText="1"/>
    </xf>
    <xf numFmtId="10" fontId="0" fillId="0" borderId="0" xfId="0" applyNumberFormat="1"/>
    <xf numFmtId="165" fontId="4" fillId="3" borderId="9" xfId="0" applyNumberFormat="1" applyFont="1" applyFill="1" applyBorder="1"/>
    <xf numFmtId="165" fontId="4" fillId="3" borderId="11" xfId="0" applyNumberFormat="1" applyFont="1" applyFill="1" applyBorder="1"/>
    <xf numFmtId="165" fontId="0" fillId="0" borderId="0" xfId="0" applyNumberFormat="1"/>
    <xf numFmtId="0" fontId="2" fillId="0" borderId="0" xfId="0" applyFont="1" applyFill="1" applyAlignment="1">
      <alignment horizontal="right"/>
    </xf>
    <xf numFmtId="165" fontId="21" fillId="2" borderId="47" xfId="1" applyNumberFormat="1" applyFont="1" applyFill="1" applyBorder="1" applyAlignment="1">
      <alignment horizontal="right" vertical="top" wrapText="1"/>
    </xf>
    <xf numFmtId="0" fontId="2" fillId="0" borderId="49" xfId="0" applyFont="1" applyFill="1" applyBorder="1" applyAlignment="1">
      <alignment wrapText="1"/>
    </xf>
    <xf numFmtId="0" fontId="4" fillId="0" borderId="21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164" fontId="2" fillId="0" borderId="18" xfId="0" applyNumberFormat="1" applyFont="1" applyFill="1" applyBorder="1"/>
    <xf numFmtId="0" fontId="2" fillId="0" borderId="18" xfId="0" applyFont="1" applyFill="1" applyBorder="1"/>
    <xf numFmtId="165" fontId="4" fillId="2" borderId="47" xfId="0" applyNumberFormat="1" applyFont="1" applyFill="1" applyBorder="1"/>
    <xf numFmtId="0" fontId="2" fillId="3" borderId="8" xfId="0" applyFont="1" applyFill="1" applyBorder="1" applyAlignment="1">
      <alignment wrapText="1"/>
    </xf>
    <xf numFmtId="0" fontId="4" fillId="3" borderId="19" xfId="0" applyFont="1" applyFill="1" applyBorder="1" applyAlignment="1">
      <alignment horizontal="center"/>
    </xf>
    <xf numFmtId="164" fontId="4" fillId="3" borderId="7" xfId="0" applyNumberFormat="1" applyFont="1" applyFill="1" applyBorder="1"/>
    <xf numFmtId="0" fontId="4" fillId="3" borderId="7" xfId="0" applyFont="1" applyFill="1" applyBorder="1"/>
    <xf numFmtId="165" fontId="2" fillId="3" borderId="9" xfId="0" applyNumberFormat="1" applyFont="1" applyFill="1" applyBorder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77" xfId="0" applyFont="1" applyFill="1" applyBorder="1" applyAlignment="1">
      <alignment horizontal="right" vertical="top"/>
    </xf>
    <xf numFmtId="0" fontId="2" fillId="0" borderId="78" xfId="0" applyFont="1" applyFill="1" applyBorder="1" applyAlignment="1">
      <alignment horizontal="right" vertical="top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3" fillId="2" borderId="38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6" fillId="0" borderId="32" xfId="5" applyFont="1" applyFill="1" applyBorder="1" applyAlignment="1">
      <alignment horizontal="center" vertical="center" wrapText="1"/>
    </xf>
    <xf numFmtId="0" fontId="16" fillId="0" borderId="62" xfId="5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1" fillId="0" borderId="0" xfId="5" applyFont="1" applyFill="1" applyBorder="1" applyAlignment="1">
      <alignment horizontal="right" vertical="top"/>
    </xf>
    <xf numFmtId="0" fontId="17" fillId="0" borderId="0" xfId="5" applyFont="1" applyFill="1" applyAlignment="1">
      <alignment horizontal="center" vertical="center" wrapText="1"/>
    </xf>
    <xf numFmtId="0" fontId="17" fillId="0" borderId="0" xfId="5" applyFont="1" applyFill="1" applyAlignment="1">
      <alignment horizontal="center" vertical="center"/>
    </xf>
    <xf numFmtId="0" fontId="33" fillId="0" borderId="7" xfId="4" applyFont="1" applyFill="1" applyBorder="1" applyAlignment="1">
      <alignment horizontal="center" vertical="top" wrapText="1"/>
    </xf>
    <xf numFmtId="0" fontId="34" fillId="0" borderId="8" xfId="4" applyFont="1" applyFill="1" applyBorder="1" applyAlignment="1">
      <alignment horizontal="center" vertical="top" wrapText="1"/>
    </xf>
    <xf numFmtId="0" fontId="34" fillId="0" borderId="7" xfId="4" applyFont="1" applyFill="1" applyBorder="1" applyAlignment="1">
      <alignment horizontal="center" vertical="top" wrapText="1"/>
    </xf>
    <xf numFmtId="0" fontId="28" fillId="0" borderId="0" xfId="4" applyFont="1" applyAlignment="1">
      <alignment horizontal="center"/>
    </xf>
    <xf numFmtId="0" fontId="33" fillId="0" borderId="18" xfId="4" applyFont="1" applyFill="1" applyBorder="1" applyAlignment="1">
      <alignment horizontal="center" vertical="top" wrapText="1"/>
    </xf>
    <xf numFmtId="0" fontId="28" fillId="0" borderId="0" xfId="4" applyFont="1" applyFill="1" applyBorder="1" applyAlignment="1">
      <alignment horizontal="center" vertical="top" wrapText="1"/>
    </xf>
    <xf numFmtId="0" fontId="11" fillId="0" borderId="0" xfId="5" applyFont="1" applyFill="1" applyAlignment="1">
      <alignment horizontal="center" vertical="center"/>
    </xf>
    <xf numFmtId="0" fontId="33" fillId="0" borderId="10" xfId="4" applyFont="1" applyFill="1" applyBorder="1" applyAlignment="1">
      <alignment vertical="top" wrapText="1"/>
    </xf>
    <xf numFmtId="0" fontId="33" fillId="0" borderId="14" xfId="4" applyFont="1" applyFill="1" applyBorder="1" applyAlignment="1">
      <alignment vertical="top" wrapText="1"/>
    </xf>
    <xf numFmtId="0" fontId="33" fillId="0" borderId="24" xfId="4" applyFont="1" applyFill="1" applyBorder="1" applyAlignment="1">
      <alignment horizontal="center" vertical="top"/>
    </xf>
    <xf numFmtId="0" fontId="33" fillId="0" borderId="71" xfId="4" applyFont="1" applyFill="1" applyBorder="1" applyAlignment="1">
      <alignment horizontal="center" vertical="top"/>
    </xf>
    <xf numFmtId="0" fontId="33" fillId="0" borderId="10" xfId="4" applyFont="1" applyFill="1" applyBorder="1" applyAlignment="1">
      <alignment horizontal="center" vertical="top" wrapText="1"/>
    </xf>
    <xf numFmtId="0" fontId="33" fillId="0" borderId="14" xfId="4" applyFont="1" applyFill="1" applyBorder="1" applyAlignment="1">
      <alignment horizontal="center" vertical="top" wrapText="1"/>
    </xf>
    <xf numFmtId="0" fontId="33" fillId="0" borderId="46" xfId="4" applyFont="1" applyFill="1" applyBorder="1" applyAlignment="1">
      <alignment horizontal="center" vertical="top" wrapText="1"/>
    </xf>
    <xf numFmtId="0" fontId="33" fillId="0" borderId="13" xfId="4" applyFont="1" applyFill="1" applyBorder="1" applyAlignment="1">
      <alignment horizontal="center" vertical="top" wrapText="1"/>
    </xf>
    <xf numFmtId="0" fontId="35" fillId="0" borderId="12" xfId="4" applyFont="1" applyFill="1" applyBorder="1" applyAlignment="1">
      <alignment horizontal="center" vertical="top" wrapText="1"/>
    </xf>
    <xf numFmtId="0" fontId="35" fillId="0" borderId="16" xfId="4" applyFont="1" applyFill="1" applyBorder="1" applyAlignment="1">
      <alignment horizontal="center" vertical="top" wrapText="1"/>
    </xf>
    <xf numFmtId="0" fontId="30" fillId="0" borderId="48" xfId="0" applyNumberFormat="1" applyFont="1" applyFill="1" applyBorder="1" applyAlignment="1">
      <alignment horizontal="center" vertical="top" wrapText="1"/>
    </xf>
    <xf numFmtId="0" fontId="30" fillId="0" borderId="45" xfId="0" applyNumberFormat="1" applyFont="1" applyFill="1" applyBorder="1" applyAlignment="1">
      <alignment horizontal="center" vertical="top" wrapText="1"/>
    </xf>
    <xf numFmtId="0" fontId="30" fillId="0" borderId="31" xfId="0" applyNumberFormat="1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</cellXfs>
  <cellStyles count="6">
    <cellStyle name="Excel Built-in Normal" xfId="5"/>
    <cellStyle name="Денежный" xfId="1" builtinId="4"/>
    <cellStyle name="Обычный" xfId="0" builtinId="0"/>
    <cellStyle name="Обычный 2" xfId="2"/>
    <cellStyle name="Обычный 3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opLeftCell="B4" zoomScale="80" zoomScaleNormal="80" workbookViewId="0">
      <selection activeCell="B15" sqref="B15"/>
    </sheetView>
  </sheetViews>
  <sheetFormatPr defaultRowHeight="14.4" x14ac:dyDescent="0.3"/>
  <cols>
    <col min="1" max="1" width="7.44140625" style="10" hidden="1" customWidth="1"/>
    <col min="2" max="2" width="69.6640625" style="10" customWidth="1"/>
    <col min="3" max="3" width="10.109375" style="10" customWidth="1"/>
    <col min="4" max="4" width="8.33203125" style="10" customWidth="1"/>
    <col min="5" max="5" width="18.6640625" style="10" customWidth="1"/>
    <col min="6" max="6" width="13.44140625" style="10" customWidth="1"/>
    <col min="7" max="7" width="20.6640625" style="10" customWidth="1"/>
    <col min="8" max="8" width="8.88671875" style="10"/>
    <col min="9" max="9" width="13.109375" style="10" customWidth="1"/>
    <col min="10" max="16384" width="8.88671875" style="10"/>
  </cols>
  <sheetData>
    <row r="1" spans="1:12" ht="29.25" customHeight="1" x14ac:dyDescent="0.3">
      <c r="A1" s="193"/>
      <c r="B1" s="523" t="s">
        <v>0</v>
      </c>
      <c r="C1" s="523"/>
      <c r="D1" s="523"/>
      <c r="E1" s="523"/>
      <c r="F1" s="523"/>
      <c r="G1" s="523"/>
      <c r="H1" s="3"/>
    </row>
    <row r="2" spans="1:12" ht="15.6" x14ac:dyDescent="0.3">
      <c r="A2" s="193"/>
      <c r="B2" s="4"/>
      <c r="C2" s="4"/>
      <c r="D2" s="4"/>
      <c r="E2" s="4"/>
      <c r="F2" s="4"/>
      <c r="G2" s="4"/>
    </row>
    <row r="3" spans="1:12" ht="15.6" x14ac:dyDescent="0.3">
      <c r="A3" s="193"/>
      <c r="B3" s="524" t="s">
        <v>587</v>
      </c>
      <c r="C3" s="524"/>
      <c r="D3" s="524"/>
      <c r="E3" s="524"/>
      <c r="F3" s="524"/>
      <c r="G3" s="524"/>
      <c r="H3" s="1"/>
    </row>
    <row r="4" spans="1:12" ht="15.6" x14ac:dyDescent="0.3">
      <c r="A4" s="193"/>
      <c r="B4" s="524" t="s">
        <v>3</v>
      </c>
      <c r="C4" s="524"/>
      <c r="D4" s="524"/>
      <c r="E4" s="524"/>
      <c r="F4" s="524"/>
      <c r="G4" s="524"/>
      <c r="H4" s="1"/>
    </row>
    <row r="5" spans="1:12" ht="16.2" thickBot="1" x14ac:dyDescent="0.35">
      <c r="A5" s="193"/>
      <c r="B5" s="4"/>
      <c r="C5" s="4"/>
      <c r="D5" s="4"/>
      <c r="E5" s="4"/>
      <c r="F5" s="4"/>
      <c r="G5" s="4"/>
    </row>
    <row r="6" spans="1:12" ht="15.6" x14ac:dyDescent="0.3">
      <c r="A6" s="194" t="s">
        <v>43</v>
      </c>
      <c r="B6" s="496" t="s">
        <v>35</v>
      </c>
      <c r="C6" s="194" t="s">
        <v>38</v>
      </c>
      <c r="D6" s="194" t="s">
        <v>40</v>
      </c>
      <c r="E6" s="525" t="s">
        <v>2</v>
      </c>
      <c r="F6" s="526"/>
      <c r="G6" s="195" t="s">
        <v>1</v>
      </c>
      <c r="H6" s="2"/>
      <c r="I6" s="2"/>
      <c r="J6" s="2"/>
      <c r="K6" s="2"/>
      <c r="L6" s="2"/>
    </row>
    <row r="7" spans="1:12" ht="16.2" thickBot="1" x14ac:dyDescent="0.35">
      <c r="A7" s="252" t="s">
        <v>36</v>
      </c>
      <c r="B7" s="497"/>
      <c r="C7" s="197" t="s">
        <v>39</v>
      </c>
      <c r="D7" s="197"/>
      <c r="E7" s="527"/>
      <c r="F7" s="528"/>
      <c r="G7" s="196"/>
      <c r="H7" s="2"/>
      <c r="I7" s="2"/>
      <c r="J7" s="2"/>
      <c r="K7" s="2"/>
      <c r="L7" s="2"/>
    </row>
    <row r="8" spans="1:12" ht="15.6" x14ac:dyDescent="0.3">
      <c r="A8" s="493">
        <v>100</v>
      </c>
      <c r="B8" s="498" t="s">
        <v>37</v>
      </c>
      <c r="C8" s="198"/>
      <c r="D8" s="202"/>
      <c r="E8" s="199"/>
      <c r="F8" s="199"/>
      <c r="G8" s="508">
        <v>1831.39</v>
      </c>
      <c r="H8" s="2"/>
      <c r="I8" s="2"/>
      <c r="J8" s="2"/>
      <c r="K8" s="2"/>
      <c r="L8" s="2"/>
    </row>
    <row r="9" spans="1:12" ht="15.6" x14ac:dyDescent="0.3">
      <c r="A9" s="494"/>
      <c r="B9" s="385"/>
      <c r="C9" s="16"/>
      <c r="D9" s="16"/>
      <c r="E9" s="13"/>
      <c r="F9" s="14"/>
      <c r="G9" s="17"/>
    </row>
    <row r="10" spans="1:12" ht="15.6" x14ac:dyDescent="0.3">
      <c r="A10" s="494">
        <v>200</v>
      </c>
      <c r="B10" s="189" t="s">
        <v>44</v>
      </c>
      <c r="C10" s="161"/>
      <c r="D10" s="18"/>
      <c r="E10" s="13"/>
      <c r="F10" s="14"/>
      <c r="G10" s="15">
        <f>SUM(G11)</f>
        <v>110424820</v>
      </c>
    </row>
    <row r="11" spans="1:12" ht="15.6" x14ac:dyDescent="0.3">
      <c r="A11" s="494">
        <v>220</v>
      </c>
      <c r="B11" s="189" t="s">
        <v>248</v>
      </c>
      <c r="C11" s="7">
        <v>130</v>
      </c>
      <c r="D11" s="18"/>
      <c r="E11" s="13"/>
      <c r="F11" s="14"/>
      <c r="G11" s="15">
        <v>110424820</v>
      </c>
    </row>
    <row r="12" spans="1:12" ht="15.6" x14ac:dyDescent="0.3">
      <c r="A12" s="494"/>
      <c r="B12" s="385"/>
      <c r="C12" s="16"/>
      <c r="D12" s="16"/>
      <c r="E12" s="13"/>
      <c r="F12" s="14"/>
      <c r="G12" s="17"/>
    </row>
    <row r="13" spans="1:12" ht="15.6" x14ac:dyDescent="0.3">
      <c r="A13" s="494">
        <v>300</v>
      </c>
      <c r="B13" s="499" t="s">
        <v>41</v>
      </c>
      <c r="C13" s="8"/>
      <c r="D13" s="18"/>
      <c r="E13" s="13"/>
      <c r="F13" s="14"/>
      <c r="G13" s="15">
        <f>G15+G22</f>
        <v>110426651.39</v>
      </c>
    </row>
    <row r="14" spans="1:12" ht="15.6" x14ac:dyDescent="0.3">
      <c r="A14" s="494"/>
      <c r="B14" s="499"/>
      <c r="C14" s="8"/>
      <c r="D14" s="18"/>
      <c r="E14" s="13"/>
      <c r="F14" s="14"/>
      <c r="G14" s="15"/>
    </row>
    <row r="15" spans="1:12" ht="15.6" x14ac:dyDescent="0.3">
      <c r="A15" s="494">
        <v>310</v>
      </c>
      <c r="B15" s="499" t="s">
        <v>216</v>
      </c>
      <c r="C15" s="8"/>
      <c r="D15" s="18"/>
      <c r="E15" s="19"/>
      <c r="F15" s="20"/>
      <c r="G15" s="15">
        <f>G17+G20</f>
        <v>94652500.390000001</v>
      </c>
    </row>
    <row r="16" spans="1:12" ht="15.6" x14ac:dyDescent="0.3">
      <c r="A16" s="494"/>
      <c r="B16" s="499"/>
      <c r="C16" s="8"/>
      <c r="D16" s="18"/>
      <c r="E16" s="19"/>
      <c r="F16" s="20"/>
      <c r="G16" s="15"/>
    </row>
    <row r="17" spans="1:7" ht="15.6" x14ac:dyDescent="0.3">
      <c r="A17" s="494">
        <v>311</v>
      </c>
      <c r="B17" s="189" t="s">
        <v>217</v>
      </c>
      <c r="C17" s="7">
        <v>111</v>
      </c>
      <c r="D17" s="18"/>
      <c r="E17" s="13"/>
      <c r="F17" s="14"/>
      <c r="G17" s="15">
        <f>SUM(G18:G19)</f>
        <v>71706469</v>
      </c>
    </row>
    <row r="18" spans="1:7" ht="15.6" x14ac:dyDescent="0.3">
      <c r="A18" s="494"/>
      <c r="B18" s="189" t="s">
        <v>249</v>
      </c>
      <c r="C18" s="18"/>
      <c r="D18" s="18">
        <v>211</v>
      </c>
      <c r="E18" s="13"/>
      <c r="F18" s="14"/>
      <c r="G18" s="17">
        <v>71376469</v>
      </c>
    </row>
    <row r="19" spans="1:7" ht="46.8" x14ac:dyDescent="0.3">
      <c r="A19" s="494"/>
      <c r="B19" s="189" t="s">
        <v>277</v>
      </c>
      <c r="C19" s="18"/>
      <c r="D19" s="18">
        <v>266</v>
      </c>
      <c r="E19" s="13"/>
      <c r="F19" s="14"/>
      <c r="G19" s="17">
        <v>330000</v>
      </c>
    </row>
    <row r="20" spans="1:7" ht="46.8" x14ac:dyDescent="0.3">
      <c r="A20" s="494">
        <v>313</v>
      </c>
      <c r="B20" s="500" t="s">
        <v>218</v>
      </c>
      <c r="C20" s="12">
        <v>119</v>
      </c>
      <c r="D20" s="200"/>
      <c r="E20" s="13"/>
      <c r="F20" s="201"/>
      <c r="G20" s="15">
        <v>22946031.390000001</v>
      </c>
    </row>
    <row r="21" spans="1:7" ht="15.6" x14ac:dyDescent="0.3">
      <c r="A21" s="494"/>
      <c r="B21" s="500" t="s">
        <v>250</v>
      </c>
      <c r="C21" s="12"/>
      <c r="D21" s="200">
        <v>213</v>
      </c>
      <c r="E21" s="13"/>
      <c r="F21" s="201"/>
      <c r="G21" s="17">
        <v>22751948.199999999</v>
      </c>
    </row>
    <row r="22" spans="1:7" ht="15.6" x14ac:dyDescent="0.3">
      <c r="A22" s="494">
        <v>320</v>
      </c>
      <c r="B22" s="20" t="s">
        <v>219</v>
      </c>
      <c r="C22" s="6">
        <v>200</v>
      </c>
      <c r="D22" s="200"/>
      <c r="E22" s="13"/>
      <c r="F22" s="14"/>
      <c r="G22" s="15">
        <f>G24</f>
        <v>15774151</v>
      </c>
    </row>
    <row r="23" spans="1:7" ht="15.6" x14ac:dyDescent="0.3">
      <c r="A23" s="494">
        <v>322</v>
      </c>
      <c r="B23" s="499" t="s">
        <v>220</v>
      </c>
      <c r="C23" s="7">
        <v>244</v>
      </c>
      <c r="D23" s="18"/>
      <c r="E23" s="13"/>
      <c r="F23" s="14"/>
      <c r="G23" s="15"/>
    </row>
    <row r="24" spans="1:7" ht="31.2" x14ac:dyDescent="0.3">
      <c r="A24" s="495"/>
      <c r="B24" s="189" t="s">
        <v>658</v>
      </c>
      <c r="C24" s="102"/>
      <c r="D24" s="385">
        <v>342</v>
      </c>
      <c r="E24" s="102"/>
      <c r="F24" s="102"/>
      <c r="G24" s="19">
        <v>15774151</v>
      </c>
    </row>
    <row r="25" spans="1:7" x14ac:dyDescent="0.3">
      <c r="G25" s="509">
        <f>G8+G10-G13</f>
        <v>0</v>
      </c>
    </row>
    <row r="27" spans="1:7" ht="15.6" x14ac:dyDescent="0.3">
      <c r="B27" s="4" t="s">
        <v>21</v>
      </c>
      <c r="C27" s="4"/>
      <c r="D27" s="4"/>
      <c r="E27" s="4" t="s">
        <v>22</v>
      </c>
    </row>
    <row r="28" spans="1:7" ht="15.6" x14ac:dyDescent="0.3">
      <c r="B28" s="4"/>
      <c r="C28" s="4"/>
      <c r="D28" s="4"/>
      <c r="E28" s="4"/>
    </row>
    <row r="29" spans="1:7" ht="15.6" x14ac:dyDescent="0.3">
      <c r="B29" s="4" t="s">
        <v>23</v>
      </c>
      <c r="C29" s="4"/>
      <c r="D29" s="4"/>
      <c r="E29" s="4" t="s">
        <v>272</v>
      </c>
    </row>
    <row r="30" spans="1:7" ht="15.6" x14ac:dyDescent="0.3">
      <c r="B30" s="4"/>
      <c r="C30" s="4"/>
      <c r="D30" s="4"/>
      <c r="E30" s="4"/>
    </row>
    <row r="31" spans="1:7" x14ac:dyDescent="0.3">
      <c r="B31" s="5"/>
    </row>
    <row r="33" spans="2:2" x14ac:dyDescent="0.3">
      <c r="B33" s="351" t="s">
        <v>664</v>
      </c>
    </row>
  </sheetData>
  <mergeCells count="4">
    <mergeCell ref="B1:G1"/>
    <mergeCell ref="B3:G3"/>
    <mergeCell ref="B4:G4"/>
    <mergeCell ref="E6:F7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workbookViewId="0">
      <selection activeCell="E1" sqref="E1"/>
    </sheetView>
  </sheetViews>
  <sheetFormatPr defaultRowHeight="14.4" x14ac:dyDescent="0.3"/>
  <cols>
    <col min="1" max="1" width="52" style="10" customWidth="1"/>
    <col min="2" max="2" width="8.88671875" style="10"/>
    <col min="3" max="3" width="17.33203125" style="10" customWidth="1"/>
    <col min="4" max="4" width="15.109375" style="10" customWidth="1"/>
    <col min="5" max="5" width="18.5546875" style="10" customWidth="1"/>
    <col min="6" max="16384" width="8.88671875" style="10"/>
  </cols>
  <sheetData>
    <row r="1" spans="1:5" ht="15.6" x14ac:dyDescent="0.3">
      <c r="A1" s="4"/>
      <c r="B1" s="4"/>
      <c r="C1" s="4"/>
      <c r="D1" s="4"/>
      <c r="E1" s="4" t="s">
        <v>654</v>
      </c>
    </row>
    <row r="2" spans="1:5" ht="18" x14ac:dyDescent="0.35">
      <c r="A2" s="542" t="s">
        <v>593</v>
      </c>
      <c r="B2" s="542"/>
      <c r="C2" s="542"/>
      <c r="D2" s="542"/>
      <c r="E2" s="542"/>
    </row>
    <row r="3" spans="1:5" ht="18" x14ac:dyDescent="0.35">
      <c r="A3" s="352"/>
      <c r="B3" s="352"/>
      <c r="C3" s="352"/>
      <c r="D3" s="352"/>
      <c r="E3" s="352"/>
    </row>
    <row r="4" spans="1:5" ht="16.2" thickBot="1" x14ac:dyDescent="0.35">
      <c r="A4" s="4"/>
      <c r="B4" s="4"/>
      <c r="C4" s="4"/>
      <c r="D4" s="4"/>
      <c r="E4" s="4"/>
    </row>
    <row r="5" spans="1:5" ht="31.8" thickBot="1" x14ac:dyDescent="0.35">
      <c r="A5" s="21" t="s">
        <v>35</v>
      </c>
      <c r="B5" s="23" t="s">
        <v>99</v>
      </c>
      <c r="C5" s="23" t="s">
        <v>100</v>
      </c>
      <c r="D5" s="23" t="s">
        <v>101</v>
      </c>
      <c r="E5" s="24" t="s">
        <v>254</v>
      </c>
    </row>
    <row r="6" spans="1:5" ht="16.2" thickBot="1" x14ac:dyDescent="0.35">
      <c r="A6" s="21">
        <v>1</v>
      </c>
      <c r="B6" s="52">
        <v>2</v>
      </c>
      <c r="C6" s="22">
        <v>3</v>
      </c>
      <c r="D6" s="23">
        <v>4</v>
      </c>
      <c r="E6" s="24">
        <v>5</v>
      </c>
    </row>
    <row r="7" spans="1:5" x14ac:dyDescent="0.3">
      <c r="A7" s="472" t="s">
        <v>594</v>
      </c>
      <c r="B7" s="566">
        <v>851</v>
      </c>
      <c r="C7" s="473">
        <v>115490784.04000001</v>
      </c>
      <c r="D7" s="140">
        <v>1.5</v>
      </c>
      <c r="E7" s="470">
        <v>1732361.8</v>
      </c>
    </row>
    <row r="8" spans="1:5" x14ac:dyDescent="0.3">
      <c r="A8" s="464" t="s">
        <v>595</v>
      </c>
      <c r="B8" s="567"/>
      <c r="C8" s="474">
        <v>38223365</v>
      </c>
      <c r="D8" s="471">
        <v>2.2000000000000002</v>
      </c>
      <c r="E8" s="335">
        <v>840914.03</v>
      </c>
    </row>
    <row r="9" spans="1:5" ht="15" thickBot="1" x14ac:dyDescent="0.35">
      <c r="A9" s="95" t="s">
        <v>82</v>
      </c>
      <c r="B9" s="567"/>
      <c r="C9" s="96"/>
      <c r="D9" s="97"/>
      <c r="E9" s="337">
        <f>E8+E7</f>
        <v>2573275.83</v>
      </c>
    </row>
    <row r="10" spans="1:5" x14ac:dyDescent="0.3">
      <c r="A10" s="98" t="s">
        <v>244</v>
      </c>
      <c r="B10" s="561">
        <v>852</v>
      </c>
      <c r="C10" s="99"/>
      <c r="D10" s="100"/>
      <c r="E10" s="334">
        <f>SUM(E11:E15)</f>
        <v>17683.07</v>
      </c>
    </row>
    <row r="11" spans="1:5" x14ac:dyDescent="0.3">
      <c r="A11" s="101" t="s">
        <v>93</v>
      </c>
      <c r="B11" s="561"/>
      <c r="C11" s="102">
        <v>76.7</v>
      </c>
      <c r="D11" s="94">
        <v>13.1</v>
      </c>
      <c r="E11" s="336">
        <f>C11*D11</f>
        <v>1004.77</v>
      </c>
    </row>
    <row r="12" spans="1:5" x14ac:dyDescent="0.3">
      <c r="A12" s="101" t="s">
        <v>94</v>
      </c>
      <c r="B12" s="561"/>
      <c r="C12" s="102">
        <v>98</v>
      </c>
      <c r="D12" s="94">
        <v>42</v>
      </c>
      <c r="E12" s="336">
        <f t="shared" ref="E12:E15" si="0">C12*D12</f>
        <v>4116</v>
      </c>
    </row>
    <row r="13" spans="1:5" x14ac:dyDescent="0.3">
      <c r="A13" s="101" t="s">
        <v>95</v>
      </c>
      <c r="B13" s="561"/>
      <c r="C13" s="102">
        <v>106.8</v>
      </c>
      <c r="D13" s="94">
        <v>38</v>
      </c>
      <c r="E13" s="336">
        <f t="shared" si="0"/>
        <v>4058.4</v>
      </c>
    </row>
    <row r="14" spans="1:5" x14ac:dyDescent="0.3">
      <c r="A14" s="101" t="s">
        <v>585</v>
      </c>
      <c r="B14" s="561"/>
      <c r="C14" s="102">
        <v>106.8</v>
      </c>
      <c r="D14" s="94">
        <v>42</v>
      </c>
      <c r="E14" s="336">
        <f t="shared" si="0"/>
        <v>4485.5999999999995</v>
      </c>
    </row>
    <row r="15" spans="1:5" x14ac:dyDescent="0.3">
      <c r="A15" s="101" t="s">
        <v>96</v>
      </c>
      <c r="B15" s="561"/>
      <c r="C15" s="102">
        <v>143</v>
      </c>
      <c r="D15" s="94">
        <v>28.1</v>
      </c>
      <c r="E15" s="336">
        <f t="shared" si="0"/>
        <v>4018.3</v>
      </c>
    </row>
    <row r="16" spans="1:5" x14ac:dyDescent="0.3">
      <c r="A16" s="105" t="s">
        <v>242</v>
      </c>
      <c r="B16" s="561"/>
      <c r="C16" s="106"/>
      <c r="D16" s="80"/>
      <c r="E16" s="335">
        <v>17207.93</v>
      </c>
    </row>
    <row r="17" spans="1:5" ht="15" thickBot="1" x14ac:dyDescent="0.35">
      <c r="A17" s="107" t="s">
        <v>82</v>
      </c>
      <c r="B17" s="562"/>
      <c r="C17" s="108"/>
      <c r="D17" s="109"/>
      <c r="E17" s="337">
        <f>E10+E16</f>
        <v>34891</v>
      </c>
    </row>
    <row r="18" spans="1:5" ht="27.6" x14ac:dyDescent="0.3">
      <c r="A18" s="103" t="s">
        <v>245</v>
      </c>
      <c r="B18" s="563">
        <v>853</v>
      </c>
      <c r="C18" s="139"/>
      <c r="D18" s="140"/>
      <c r="E18" s="336">
        <f>SUM(E19:E20)</f>
        <v>67168</v>
      </c>
    </row>
    <row r="19" spans="1:5" ht="28.2" x14ac:dyDescent="0.3">
      <c r="A19" s="104" t="s">
        <v>13</v>
      </c>
      <c r="B19" s="564"/>
      <c r="C19" s="106"/>
      <c r="D19" s="80"/>
      <c r="E19" s="338">
        <v>2652</v>
      </c>
    </row>
    <row r="20" spans="1:5" ht="28.2" x14ac:dyDescent="0.3">
      <c r="A20" s="104" t="s">
        <v>14</v>
      </c>
      <c r="B20" s="564"/>
      <c r="C20" s="106"/>
      <c r="D20" s="80"/>
      <c r="E20" s="338">
        <v>64516</v>
      </c>
    </row>
    <row r="21" spans="1:5" x14ac:dyDescent="0.3">
      <c r="A21" s="137" t="s">
        <v>243</v>
      </c>
      <c r="B21" s="564"/>
      <c r="C21" s="106"/>
      <c r="D21" s="80"/>
      <c r="E21" s="336">
        <v>50000</v>
      </c>
    </row>
    <row r="22" spans="1:5" ht="15" thickBot="1" x14ac:dyDescent="0.35">
      <c r="A22" s="138" t="s">
        <v>82</v>
      </c>
      <c r="B22" s="565"/>
      <c r="C22" s="136"/>
      <c r="D22" s="82"/>
      <c r="E22" s="339">
        <f>E18+E21</f>
        <v>117168</v>
      </c>
    </row>
    <row r="23" spans="1:5" ht="16.2" thickBot="1" x14ac:dyDescent="0.35">
      <c r="A23" s="25" t="s">
        <v>102</v>
      </c>
      <c r="B23" s="110"/>
      <c r="C23" s="111"/>
      <c r="D23" s="110"/>
      <c r="E23" s="340">
        <f>E9+E17+E22</f>
        <v>2725334.83</v>
      </c>
    </row>
    <row r="24" spans="1:5" x14ac:dyDescent="0.3">
      <c r="A24" s="5"/>
      <c r="B24" s="5"/>
      <c r="C24" s="5"/>
      <c r="D24" s="5"/>
      <c r="E24" s="5"/>
    </row>
  </sheetData>
  <mergeCells count="4">
    <mergeCell ref="A2:E2"/>
    <mergeCell ref="B10:B17"/>
    <mergeCell ref="B18:B22"/>
    <mergeCell ref="B7:B9"/>
  </mergeCells>
  <pageMargins left="0.7" right="0.7" top="0.75" bottom="0.75" header="0.3" footer="0.3"/>
  <pageSetup paperSize="9" scale="7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46"/>
  <sheetViews>
    <sheetView topLeftCell="A25" workbookViewId="0">
      <selection activeCell="D44" sqref="D44"/>
    </sheetView>
  </sheetViews>
  <sheetFormatPr defaultRowHeight="14.4" x14ac:dyDescent="0.3"/>
  <cols>
    <col min="1" max="1" width="72.5546875" style="10" customWidth="1"/>
    <col min="2" max="2" width="17.44140625" style="10" customWidth="1"/>
    <col min="3" max="3" width="18.6640625" style="10" customWidth="1"/>
    <col min="4" max="4" width="18.44140625" style="10" customWidth="1"/>
    <col min="5" max="5" width="8.88671875" style="10"/>
    <col min="6" max="6" width="10.44140625" style="10" bestFit="1" customWidth="1"/>
    <col min="7" max="16384" width="8.88671875" style="10"/>
  </cols>
  <sheetData>
    <row r="2" spans="1:4" ht="15.6" x14ac:dyDescent="0.3">
      <c r="A2" s="275"/>
      <c r="B2" s="4"/>
      <c r="C2" s="543" t="s">
        <v>337</v>
      </c>
      <c r="D2" s="543"/>
    </row>
    <row r="3" spans="1:4" ht="18" x14ac:dyDescent="0.35">
      <c r="A3" s="542" t="s">
        <v>644</v>
      </c>
      <c r="B3" s="542"/>
      <c r="C3" s="542"/>
      <c r="D3" s="542"/>
    </row>
    <row r="4" spans="1:4" x14ac:dyDescent="0.3">
      <c r="A4" s="5"/>
      <c r="B4" s="5"/>
      <c r="C4" s="5"/>
      <c r="D4" s="5"/>
    </row>
    <row r="5" spans="1:4" ht="16.2" thickBot="1" x14ac:dyDescent="0.35">
      <c r="A5" s="26" t="s">
        <v>336</v>
      </c>
      <c r="B5" s="5"/>
      <c r="C5" s="5"/>
      <c r="D5" s="5"/>
    </row>
    <row r="6" spans="1:4" ht="54.6" thickBot="1" x14ac:dyDescent="0.35">
      <c r="A6" s="274" t="s">
        <v>335</v>
      </c>
      <c r="B6" s="273" t="s">
        <v>334</v>
      </c>
      <c r="C6" s="272" t="s">
        <v>333</v>
      </c>
      <c r="D6" s="271" t="s">
        <v>332</v>
      </c>
    </row>
    <row r="7" spans="1:4" x14ac:dyDescent="0.3">
      <c r="A7" s="270">
        <v>1</v>
      </c>
      <c r="B7" s="269">
        <v>2</v>
      </c>
      <c r="C7" s="269">
        <v>3</v>
      </c>
      <c r="D7" s="268">
        <v>4</v>
      </c>
    </row>
    <row r="8" spans="1:4" x14ac:dyDescent="0.3">
      <c r="A8" s="267" t="s">
        <v>619</v>
      </c>
      <c r="B8" s="265">
        <v>1</v>
      </c>
      <c r="C8" s="262">
        <v>1481000</v>
      </c>
      <c r="D8" s="261">
        <f t="shared" ref="D8:D40" si="0">C8*B8</f>
        <v>1481000</v>
      </c>
    </row>
    <row r="9" spans="1:4" x14ac:dyDescent="0.3">
      <c r="A9" s="264" t="s">
        <v>615</v>
      </c>
      <c r="B9" s="178">
        <v>1</v>
      </c>
      <c r="C9" s="179">
        <v>130000</v>
      </c>
      <c r="D9" s="261">
        <f t="shared" si="0"/>
        <v>130000</v>
      </c>
    </row>
    <row r="10" spans="1:4" x14ac:dyDescent="0.3">
      <c r="A10" s="264" t="s">
        <v>617</v>
      </c>
      <c r="B10" s="178">
        <v>1</v>
      </c>
      <c r="C10" s="179">
        <v>100000</v>
      </c>
      <c r="D10" s="261">
        <f t="shared" si="0"/>
        <v>100000</v>
      </c>
    </row>
    <row r="11" spans="1:4" x14ac:dyDescent="0.3">
      <c r="A11" s="264" t="s">
        <v>636</v>
      </c>
      <c r="B11" s="178">
        <v>2</v>
      </c>
      <c r="C11" s="179">
        <v>17500</v>
      </c>
      <c r="D11" s="261">
        <f t="shared" si="0"/>
        <v>35000</v>
      </c>
    </row>
    <row r="12" spans="1:4" x14ac:dyDescent="0.3">
      <c r="A12" s="267" t="s">
        <v>609</v>
      </c>
      <c r="B12" s="265">
        <v>1</v>
      </c>
      <c r="C12" s="262">
        <v>18000</v>
      </c>
      <c r="D12" s="261">
        <f t="shared" si="0"/>
        <v>18000</v>
      </c>
    </row>
    <row r="13" spans="1:4" x14ac:dyDescent="0.3">
      <c r="A13" s="264" t="s">
        <v>634</v>
      </c>
      <c r="B13" s="178">
        <v>3</v>
      </c>
      <c r="C13" s="179">
        <v>27000</v>
      </c>
      <c r="D13" s="261">
        <f t="shared" si="0"/>
        <v>81000</v>
      </c>
    </row>
    <row r="14" spans="1:4" x14ac:dyDescent="0.3">
      <c r="A14" s="264" t="s">
        <v>637</v>
      </c>
      <c r="B14" s="178">
        <v>2</v>
      </c>
      <c r="C14" s="179">
        <v>20000</v>
      </c>
      <c r="D14" s="261">
        <f t="shared" si="0"/>
        <v>40000</v>
      </c>
    </row>
    <row r="15" spans="1:4" x14ac:dyDescent="0.3">
      <c r="A15" s="264" t="s">
        <v>626</v>
      </c>
      <c r="B15" s="178">
        <v>10</v>
      </c>
      <c r="C15" s="179">
        <v>5000</v>
      </c>
      <c r="D15" s="261">
        <f t="shared" si="0"/>
        <v>50000</v>
      </c>
    </row>
    <row r="16" spans="1:4" x14ac:dyDescent="0.3">
      <c r="A16" s="266" t="s">
        <v>627</v>
      </c>
      <c r="B16" s="265">
        <v>10</v>
      </c>
      <c r="C16" s="262">
        <v>5000</v>
      </c>
      <c r="D16" s="261">
        <f t="shared" si="0"/>
        <v>50000</v>
      </c>
    </row>
    <row r="17" spans="1:4" x14ac:dyDescent="0.3">
      <c r="A17" s="266" t="s">
        <v>628</v>
      </c>
      <c r="B17" s="265">
        <v>10</v>
      </c>
      <c r="C17" s="262">
        <v>12000</v>
      </c>
      <c r="D17" s="261">
        <f t="shared" si="0"/>
        <v>120000</v>
      </c>
    </row>
    <row r="18" spans="1:4" x14ac:dyDescent="0.3">
      <c r="A18" s="264" t="s">
        <v>608</v>
      </c>
      <c r="B18" s="178">
        <v>1</v>
      </c>
      <c r="C18" s="179">
        <v>6000</v>
      </c>
      <c r="D18" s="261">
        <f t="shared" si="0"/>
        <v>6000</v>
      </c>
    </row>
    <row r="19" spans="1:4" x14ac:dyDescent="0.3">
      <c r="A19" s="264" t="s">
        <v>625</v>
      </c>
      <c r="B19" s="178">
        <v>5</v>
      </c>
      <c r="C19" s="179">
        <v>1500</v>
      </c>
      <c r="D19" s="261">
        <f t="shared" si="0"/>
        <v>7500</v>
      </c>
    </row>
    <row r="20" spans="1:4" x14ac:dyDescent="0.3">
      <c r="A20" s="263" t="s">
        <v>620</v>
      </c>
      <c r="B20" s="265">
        <v>1</v>
      </c>
      <c r="C20" s="262">
        <v>8000</v>
      </c>
      <c r="D20" s="261">
        <f t="shared" si="0"/>
        <v>8000</v>
      </c>
    </row>
    <row r="21" spans="1:4" x14ac:dyDescent="0.3">
      <c r="A21" s="263" t="s">
        <v>638</v>
      </c>
      <c r="B21" s="265">
        <v>4</v>
      </c>
      <c r="C21" s="262">
        <v>2500</v>
      </c>
      <c r="D21" s="261">
        <f t="shared" si="0"/>
        <v>10000</v>
      </c>
    </row>
    <row r="22" spans="1:4" x14ac:dyDescent="0.3">
      <c r="A22" s="264" t="s">
        <v>632</v>
      </c>
      <c r="B22" s="178">
        <v>1</v>
      </c>
      <c r="C22" s="179">
        <v>10000</v>
      </c>
      <c r="D22" s="261">
        <f t="shared" si="0"/>
        <v>10000</v>
      </c>
    </row>
    <row r="23" spans="1:4" x14ac:dyDescent="0.3">
      <c r="A23" s="263" t="s">
        <v>624</v>
      </c>
      <c r="B23" s="265">
        <v>1</v>
      </c>
      <c r="C23" s="262">
        <v>5000</v>
      </c>
      <c r="D23" s="261">
        <f t="shared" si="0"/>
        <v>5000</v>
      </c>
    </row>
    <row r="24" spans="1:4" x14ac:dyDescent="0.3">
      <c r="A24" s="264" t="s">
        <v>635</v>
      </c>
      <c r="B24" s="178">
        <v>5</v>
      </c>
      <c r="C24" s="179">
        <v>20000</v>
      </c>
      <c r="D24" s="261">
        <f t="shared" si="0"/>
        <v>100000</v>
      </c>
    </row>
    <row r="25" spans="1:4" x14ac:dyDescent="0.3">
      <c r="A25" s="264" t="s">
        <v>607</v>
      </c>
      <c r="B25" s="178">
        <v>1</v>
      </c>
      <c r="C25" s="179">
        <v>40000</v>
      </c>
      <c r="D25" s="261">
        <f t="shared" si="0"/>
        <v>40000</v>
      </c>
    </row>
    <row r="26" spans="1:4" x14ac:dyDescent="0.3">
      <c r="A26" s="264" t="s">
        <v>639</v>
      </c>
      <c r="B26" s="178">
        <v>1</v>
      </c>
      <c r="C26" s="179">
        <v>40000</v>
      </c>
      <c r="D26" s="261">
        <f t="shared" si="0"/>
        <v>40000</v>
      </c>
    </row>
    <row r="27" spans="1:4" x14ac:dyDescent="0.3">
      <c r="A27" s="264" t="s">
        <v>655</v>
      </c>
      <c r="B27" s="178">
        <v>1</v>
      </c>
      <c r="C27" s="179">
        <v>100000</v>
      </c>
      <c r="D27" s="261">
        <f t="shared" si="0"/>
        <v>100000</v>
      </c>
    </row>
    <row r="28" spans="1:4" x14ac:dyDescent="0.3">
      <c r="A28" s="264" t="s">
        <v>631</v>
      </c>
      <c r="B28" s="178">
        <v>6</v>
      </c>
      <c r="C28" s="179">
        <v>5000</v>
      </c>
      <c r="D28" s="261">
        <f t="shared" si="0"/>
        <v>30000</v>
      </c>
    </row>
    <row r="29" spans="1:4" x14ac:dyDescent="0.3">
      <c r="A29" s="264" t="s">
        <v>614</v>
      </c>
      <c r="B29" s="178">
        <v>10</v>
      </c>
      <c r="C29" s="179">
        <v>6000</v>
      </c>
      <c r="D29" s="261">
        <f t="shared" si="0"/>
        <v>60000</v>
      </c>
    </row>
    <row r="30" spans="1:4" x14ac:dyDescent="0.3">
      <c r="A30" s="267" t="s">
        <v>613</v>
      </c>
      <c r="B30" s="265">
        <v>6</v>
      </c>
      <c r="C30" s="262">
        <v>7000</v>
      </c>
      <c r="D30" s="261">
        <f t="shared" si="0"/>
        <v>42000</v>
      </c>
    </row>
    <row r="31" spans="1:4" x14ac:dyDescent="0.3">
      <c r="A31" s="264" t="s">
        <v>611</v>
      </c>
      <c r="B31" s="178">
        <v>12</v>
      </c>
      <c r="C31" s="179">
        <v>12000</v>
      </c>
      <c r="D31" s="261">
        <f t="shared" si="0"/>
        <v>144000</v>
      </c>
    </row>
    <row r="32" spans="1:4" x14ac:dyDescent="0.3">
      <c r="A32" s="264" t="s">
        <v>610</v>
      </c>
      <c r="B32" s="178">
        <v>4</v>
      </c>
      <c r="C32" s="179">
        <v>2000</v>
      </c>
      <c r="D32" s="261">
        <f t="shared" si="0"/>
        <v>8000</v>
      </c>
    </row>
    <row r="33" spans="1:4" x14ac:dyDescent="0.3">
      <c r="A33" s="489" t="s">
        <v>616</v>
      </c>
      <c r="B33" s="378">
        <v>1</v>
      </c>
      <c r="C33" s="490">
        <v>290000</v>
      </c>
      <c r="D33" s="261">
        <f t="shared" si="0"/>
        <v>290000</v>
      </c>
    </row>
    <row r="34" spans="1:4" x14ac:dyDescent="0.3">
      <c r="A34" s="489" t="s">
        <v>630</v>
      </c>
      <c r="B34" s="378">
        <v>20</v>
      </c>
      <c r="C34" s="490">
        <v>4000</v>
      </c>
      <c r="D34" s="261">
        <f t="shared" si="0"/>
        <v>80000</v>
      </c>
    </row>
    <row r="35" spans="1:4" x14ac:dyDescent="0.3">
      <c r="A35" s="489" t="s">
        <v>623</v>
      </c>
      <c r="B35" s="378">
        <v>2</v>
      </c>
      <c r="C35" s="490">
        <v>8000</v>
      </c>
      <c r="D35" s="261">
        <f t="shared" si="0"/>
        <v>16000</v>
      </c>
    </row>
    <row r="36" spans="1:4" x14ac:dyDescent="0.3">
      <c r="A36" s="489" t="s">
        <v>621</v>
      </c>
      <c r="B36" s="378">
        <v>1</v>
      </c>
      <c r="C36" s="490">
        <v>20000</v>
      </c>
      <c r="D36" s="261">
        <f t="shared" si="0"/>
        <v>20000</v>
      </c>
    </row>
    <row r="37" spans="1:4" x14ac:dyDescent="0.3">
      <c r="A37" s="428" t="s">
        <v>622</v>
      </c>
      <c r="B37" s="487">
        <v>1</v>
      </c>
      <c r="C37" s="429">
        <v>3500</v>
      </c>
      <c r="D37" s="261">
        <f t="shared" si="0"/>
        <v>3500</v>
      </c>
    </row>
    <row r="38" spans="1:4" x14ac:dyDescent="0.3">
      <c r="A38" s="428" t="s">
        <v>629</v>
      </c>
      <c r="B38" s="487">
        <v>6</v>
      </c>
      <c r="C38" s="429">
        <v>25000</v>
      </c>
      <c r="D38" s="261">
        <f t="shared" si="0"/>
        <v>150000</v>
      </c>
    </row>
    <row r="39" spans="1:4" x14ac:dyDescent="0.3">
      <c r="A39" s="489" t="s">
        <v>612</v>
      </c>
      <c r="B39" s="378">
        <v>11</v>
      </c>
      <c r="C39" s="490">
        <v>10000</v>
      </c>
      <c r="D39" s="261">
        <f t="shared" si="0"/>
        <v>110000</v>
      </c>
    </row>
    <row r="40" spans="1:4" ht="15" thickBot="1" x14ac:dyDescent="0.35">
      <c r="A40" s="489" t="s">
        <v>633</v>
      </c>
      <c r="B40" s="378">
        <v>1</v>
      </c>
      <c r="C40" s="490">
        <v>10000</v>
      </c>
      <c r="D40" s="261">
        <f t="shared" si="0"/>
        <v>10000</v>
      </c>
    </row>
    <row r="41" spans="1:4" ht="16.2" thickBot="1" x14ac:dyDescent="0.35">
      <c r="A41" s="430" t="s">
        <v>331</v>
      </c>
      <c r="B41" s="432" t="s">
        <v>61</v>
      </c>
      <c r="C41" s="432" t="s">
        <v>61</v>
      </c>
      <c r="D41" s="431">
        <f>SUM(D7:D40)</f>
        <v>3395004</v>
      </c>
    </row>
    <row r="42" spans="1:4" x14ac:dyDescent="0.3">
      <c r="A42" s="5"/>
      <c r="B42" s="5"/>
      <c r="C42" s="5"/>
      <c r="D42" s="5"/>
    </row>
    <row r="43" spans="1:4" x14ac:dyDescent="0.3">
      <c r="A43" s="5"/>
      <c r="B43" s="260"/>
      <c r="C43" s="259"/>
      <c r="D43" s="258"/>
    </row>
    <row r="44" spans="1:4" x14ac:dyDescent="0.3">
      <c r="B44" s="2"/>
      <c r="C44" s="257" t="s">
        <v>330</v>
      </c>
      <c r="D44" s="256">
        <f>D11+D12+D13+D14+D15+D16+D17+D18+D19+D20+D21+D22+D23+D24++D25+D26+D28+D29+D30+D31+D34+D35+D36+D37+D38+D39+D40</f>
        <v>1286000</v>
      </c>
    </row>
    <row r="45" spans="1:4" x14ac:dyDescent="0.3">
      <c r="B45" s="2"/>
      <c r="C45" s="163"/>
      <c r="D45" s="164"/>
    </row>
    <row r="46" spans="1:4" x14ac:dyDescent="0.3">
      <c r="C46" s="165"/>
      <c r="D46" s="167"/>
    </row>
  </sheetData>
  <sortState ref="A8:D40">
    <sortCondition ref="A8"/>
  </sortState>
  <mergeCells count="2">
    <mergeCell ref="C2:D2"/>
    <mergeCell ref="A3:D3"/>
  </mergeCells>
  <pageMargins left="0.7" right="0.7" top="0.75" bottom="0.75" header="0.3" footer="0.3"/>
  <pageSetup paperSize="9" scale="68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54"/>
  <sheetViews>
    <sheetView topLeftCell="A31" workbookViewId="0">
      <selection activeCell="D38" sqref="D38"/>
    </sheetView>
  </sheetViews>
  <sheetFormatPr defaultRowHeight="14.4" x14ac:dyDescent="0.3"/>
  <cols>
    <col min="1" max="1" width="8.88671875" style="10"/>
    <col min="2" max="2" width="42.5546875" style="10" customWidth="1"/>
    <col min="3" max="3" width="21.44140625" style="10" customWidth="1"/>
    <col min="4" max="4" width="15.44140625" style="10" customWidth="1"/>
    <col min="5" max="5" width="13.88671875" style="10" customWidth="1"/>
    <col min="6" max="16384" width="8.88671875" style="10"/>
  </cols>
  <sheetData>
    <row r="1" spans="2:5" x14ac:dyDescent="0.3">
      <c r="B1" s="568" t="s">
        <v>576</v>
      </c>
      <c r="C1" s="568"/>
      <c r="D1" s="568"/>
      <c r="E1" s="568"/>
    </row>
    <row r="2" spans="2:5" ht="50.4" customHeight="1" x14ac:dyDescent="0.3">
      <c r="B2" s="569" t="s">
        <v>596</v>
      </c>
      <c r="C2" s="569"/>
      <c r="D2" s="569"/>
      <c r="E2" s="569"/>
    </row>
    <row r="3" spans="2:5" x14ac:dyDescent="0.3">
      <c r="B3" s="402"/>
      <c r="C3" s="402"/>
      <c r="D3" s="402"/>
      <c r="E3" s="402"/>
    </row>
    <row r="4" spans="2:5" ht="15" thickBot="1" x14ac:dyDescent="0.35">
      <c r="B4" s="402"/>
      <c r="C4" s="402"/>
      <c r="D4" s="402"/>
      <c r="E4" s="402"/>
    </row>
    <row r="5" spans="2:5" x14ac:dyDescent="0.3">
      <c r="B5" s="403" t="s">
        <v>207</v>
      </c>
      <c r="C5" s="404" t="s">
        <v>104</v>
      </c>
      <c r="D5" s="404" t="s">
        <v>103</v>
      </c>
      <c r="E5" s="405" t="s">
        <v>206</v>
      </c>
    </row>
    <row r="6" spans="2:5" x14ac:dyDescent="0.3">
      <c r="B6" s="406">
        <v>1</v>
      </c>
      <c r="C6" s="407">
        <v>2</v>
      </c>
      <c r="D6" s="407">
        <v>3</v>
      </c>
      <c r="E6" s="408">
        <v>4</v>
      </c>
    </row>
    <row r="7" spans="2:5" ht="15.6" x14ac:dyDescent="0.3">
      <c r="B7" s="401" t="s">
        <v>261</v>
      </c>
      <c r="C7" s="409">
        <v>10</v>
      </c>
      <c r="D7" s="410">
        <v>142350</v>
      </c>
      <c r="E7" s="411">
        <v>1423500</v>
      </c>
    </row>
    <row r="8" spans="2:5" x14ac:dyDescent="0.3">
      <c r="B8" s="131" t="s">
        <v>107</v>
      </c>
      <c r="C8" s="409">
        <v>195</v>
      </c>
      <c r="D8" s="468">
        <v>80</v>
      </c>
      <c r="E8" s="411">
        <f t="shared" ref="E8:E35" si="0">D8*C8</f>
        <v>15600</v>
      </c>
    </row>
    <row r="9" spans="2:5" x14ac:dyDescent="0.3">
      <c r="B9" s="131" t="s">
        <v>108</v>
      </c>
      <c r="C9" s="409">
        <v>111</v>
      </c>
      <c r="D9" s="468">
        <v>40</v>
      </c>
      <c r="E9" s="411">
        <f t="shared" si="0"/>
        <v>4440</v>
      </c>
    </row>
    <row r="10" spans="2:5" x14ac:dyDescent="0.3">
      <c r="B10" s="131" t="s">
        <v>109</v>
      </c>
      <c r="C10" s="409">
        <v>300</v>
      </c>
      <c r="D10" s="468">
        <v>15</v>
      </c>
      <c r="E10" s="411">
        <f t="shared" si="0"/>
        <v>4500</v>
      </c>
    </row>
    <row r="11" spans="2:5" x14ac:dyDescent="0.3">
      <c r="B11" s="131" t="s">
        <v>110</v>
      </c>
      <c r="C11" s="409">
        <v>600</v>
      </c>
      <c r="D11" s="468">
        <v>80</v>
      </c>
      <c r="E11" s="411">
        <f t="shared" si="0"/>
        <v>48000</v>
      </c>
    </row>
    <row r="12" spans="2:5" x14ac:dyDescent="0.3">
      <c r="B12" s="131" t="s">
        <v>111</v>
      </c>
      <c r="C12" s="409">
        <v>128</v>
      </c>
      <c r="D12" s="468">
        <v>20</v>
      </c>
      <c r="E12" s="411">
        <f t="shared" si="0"/>
        <v>2560</v>
      </c>
    </row>
    <row r="13" spans="2:5" x14ac:dyDescent="0.3">
      <c r="B13" s="131" t="s">
        <v>113</v>
      </c>
      <c r="C13" s="409">
        <v>700</v>
      </c>
      <c r="D13" s="468">
        <v>10</v>
      </c>
      <c r="E13" s="411">
        <f t="shared" si="0"/>
        <v>7000</v>
      </c>
    </row>
    <row r="14" spans="2:5" x14ac:dyDescent="0.3">
      <c r="B14" s="131" t="s">
        <v>114</v>
      </c>
      <c r="C14" s="409">
        <v>200</v>
      </c>
      <c r="D14" s="468">
        <v>10</v>
      </c>
      <c r="E14" s="411">
        <f t="shared" si="0"/>
        <v>2000</v>
      </c>
    </row>
    <row r="15" spans="2:5" x14ac:dyDescent="0.3">
      <c r="B15" s="131" t="s">
        <v>116</v>
      </c>
      <c r="C15" s="409">
        <v>2875</v>
      </c>
      <c r="D15" s="468">
        <v>40</v>
      </c>
      <c r="E15" s="411">
        <f t="shared" si="0"/>
        <v>115000</v>
      </c>
    </row>
    <row r="16" spans="2:5" x14ac:dyDescent="0.3">
      <c r="B16" s="131" t="s">
        <v>117</v>
      </c>
      <c r="C16" s="409">
        <v>500</v>
      </c>
      <c r="D16" s="468">
        <v>10</v>
      </c>
      <c r="E16" s="411">
        <f t="shared" si="0"/>
        <v>5000</v>
      </c>
    </row>
    <row r="17" spans="2:5" x14ac:dyDescent="0.3">
      <c r="B17" s="131" t="s">
        <v>144</v>
      </c>
      <c r="C17" s="409">
        <v>15</v>
      </c>
      <c r="D17" s="468">
        <v>3000</v>
      </c>
      <c r="E17" s="411">
        <f t="shared" si="0"/>
        <v>45000</v>
      </c>
    </row>
    <row r="18" spans="2:5" x14ac:dyDescent="0.3">
      <c r="B18" s="131" t="s">
        <v>145</v>
      </c>
      <c r="C18" s="409">
        <v>384</v>
      </c>
      <c r="D18" s="468">
        <v>10</v>
      </c>
      <c r="E18" s="411">
        <f t="shared" si="0"/>
        <v>3840</v>
      </c>
    </row>
    <row r="19" spans="2:5" x14ac:dyDescent="0.3">
      <c r="B19" s="131" t="s">
        <v>146</v>
      </c>
      <c r="C19" s="409">
        <v>130</v>
      </c>
      <c r="D19" s="468">
        <v>10</v>
      </c>
      <c r="E19" s="411">
        <f t="shared" si="0"/>
        <v>1300</v>
      </c>
    </row>
    <row r="20" spans="2:5" x14ac:dyDescent="0.3">
      <c r="B20" s="131" t="s">
        <v>147</v>
      </c>
      <c r="C20" s="409">
        <v>418</v>
      </c>
      <c r="D20" s="468">
        <v>50</v>
      </c>
      <c r="E20" s="411">
        <f t="shared" si="0"/>
        <v>20900</v>
      </c>
    </row>
    <row r="21" spans="2:5" x14ac:dyDescent="0.3">
      <c r="B21" s="131" t="s">
        <v>148</v>
      </c>
      <c r="C21" s="409">
        <v>208</v>
      </c>
      <c r="D21" s="468">
        <v>10</v>
      </c>
      <c r="E21" s="411">
        <f t="shared" si="0"/>
        <v>2080</v>
      </c>
    </row>
    <row r="22" spans="2:5" x14ac:dyDescent="0.3">
      <c r="B22" s="131" t="s">
        <v>158</v>
      </c>
      <c r="C22" s="409">
        <v>250</v>
      </c>
      <c r="D22" s="468">
        <v>30</v>
      </c>
      <c r="E22" s="411">
        <f t="shared" si="0"/>
        <v>7500</v>
      </c>
    </row>
    <row r="23" spans="2:5" x14ac:dyDescent="0.3">
      <c r="B23" s="131" t="s">
        <v>267</v>
      </c>
      <c r="C23" s="409">
        <v>284</v>
      </c>
      <c r="D23" s="468">
        <v>20</v>
      </c>
      <c r="E23" s="411">
        <f t="shared" si="0"/>
        <v>5680</v>
      </c>
    </row>
    <row r="24" spans="2:5" x14ac:dyDescent="0.3">
      <c r="B24" s="131" t="s">
        <v>159</v>
      </c>
      <c r="C24" s="409">
        <v>1109</v>
      </c>
      <c r="D24" s="468">
        <v>30</v>
      </c>
      <c r="E24" s="411">
        <f t="shared" si="0"/>
        <v>33270</v>
      </c>
    </row>
    <row r="25" spans="2:5" x14ac:dyDescent="0.3">
      <c r="B25" s="131" t="s">
        <v>160</v>
      </c>
      <c r="C25" s="409">
        <v>361</v>
      </c>
      <c r="D25" s="468">
        <v>50</v>
      </c>
      <c r="E25" s="411">
        <f t="shared" si="0"/>
        <v>18050</v>
      </c>
    </row>
    <row r="26" spans="2:5" x14ac:dyDescent="0.3">
      <c r="B26" s="131" t="s">
        <v>161</v>
      </c>
      <c r="C26" s="409">
        <v>477</v>
      </c>
      <c r="D26" s="468">
        <v>50</v>
      </c>
      <c r="E26" s="411">
        <f t="shared" si="0"/>
        <v>23850</v>
      </c>
    </row>
    <row r="27" spans="2:5" x14ac:dyDescent="0.3">
      <c r="B27" s="131" t="s">
        <v>162</v>
      </c>
      <c r="C27" s="409">
        <v>546</v>
      </c>
      <c r="D27" s="468">
        <v>50</v>
      </c>
      <c r="E27" s="411">
        <f t="shared" si="0"/>
        <v>27300</v>
      </c>
    </row>
    <row r="28" spans="2:5" x14ac:dyDescent="0.3">
      <c r="B28" s="131" t="s">
        <v>34</v>
      </c>
      <c r="C28" s="409">
        <v>563</v>
      </c>
      <c r="D28" s="468">
        <v>150</v>
      </c>
      <c r="E28" s="411">
        <f t="shared" si="0"/>
        <v>84450</v>
      </c>
    </row>
    <row r="29" spans="2:5" x14ac:dyDescent="0.3">
      <c r="B29" s="131" t="s">
        <v>268</v>
      </c>
      <c r="C29" s="409">
        <v>714</v>
      </c>
      <c r="D29" s="468">
        <v>20</v>
      </c>
      <c r="E29" s="411">
        <f t="shared" si="0"/>
        <v>14280</v>
      </c>
    </row>
    <row r="30" spans="2:5" x14ac:dyDescent="0.3">
      <c r="B30" s="131" t="s">
        <v>163</v>
      </c>
      <c r="C30" s="409">
        <v>5</v>
      </c>
      <c r="D30" s="468">
        <v>1000</v>
      </c>
      <c r="E30" s="411">
        <f t="shared" si="0"/>
        <v>5000</v>
      </c>
    </row>
    <row r="31" spans="2:5" x14ac:dyDescent="0.3">
      <c r="B31" s="131" t="s">
        <v>164</v>
      </c>
      <c r="C31" s="409">
        <v>5</v>
      </c>
      <c r="D31" s="468">
        <v>1000</v>
      </c>
      <c r="E31" s="411">
        <f t="shared" si="0"/>
        <v>5000</v>
      </c>
    </row>
    <row r="32" spans="2:5" x14ac:dyDescent="0.3">
      <c r="B32" s="131" t="s">
        <v>165</v>
      </c>
      <c r="C32" s="409">
        <v>46</v>
      </c>
      <c r="D32" s="468">
        <v>5000</v>
      </c>
      <c r="E32" s="411">
        <f t="shared" si="0"/>
        <v>230000</v>
      </c>
    </row>
    <row r="33" spans="2:5" x14ac:dyDescent="0.3">
      <c r="B33" s="131" t="s">
        <v>269</v>
      </c>
      <c r="C33" s="409">
        <v>21</v>
      </c>
      <c r="D33" s="468">
        <v>2000</v>
      </c>
      <c r="E33" s="411">
        <f t="shared" si="0"/>
        <v>42000</v>
      </c>
    </row>
    <row r="34" spans="2:5" x14ac:dyDescent="0.3">
      <c r="B34" s="131" t="s">
        <v>166</v>
      </c>
      <c r="C34" s="409">
        <v>8</v>
      </c>
      <c r="D34" s="468">
        <v>3000</v>
      </c>
      <c r="E34" s="411">
        <f t="shared" si="0"/>
        <v>24000</v>
      </c>
    </row>
    <row r="35" spans="2:5" x14ac:dyDescent="0.3">
      <c r="B35" s="131" t="s">
        <v>167</v>
      </c>
      <c r="C35" s="409">
        <v>870</v>
      </c>
      <c r="D35" s="468">
        <v>10</v>
      </c>
      <c r="E35" s="411">
        <f t="shared" si="0"/>
        <v>8700</v>
      </c>
    </row>
    <row r="36" spans="2:5" x14ac:dyDescent="0.3">
      <c r="B36" s="131" t="s">
        <v>168</v>
      </c>
      <c r="C36" s="409">
        <v>1493</v>
      </c>
      <c r="D36" s="468">
        <v>10</v>
      </c>
      <c r="E36" s="411">
        <f t="shared" ref="E36:E53" si="1">D36*C36</f>
        <v>14930</v>
      </c>
    </row>
    <row r="37" spans="2:5" x14ac:dyDescent="0.3">
      <c r="B37" s="131" t="s">
        <v>169</v>
      </c>
      <c r="C37" s="409">
        <v>649</v>
      </c>
      <c r="D37" s="468">
        <v>10</v>
      </c>
      <c r="E37" s="411">
        <f t="shared" si="1"/>
        <v>6490</v>
      </c>
    </row>
    <row r="38" spans="2:5" x14ac:dyDescent="0.3">
      <c r="B38" s="131" t="s">
        <v>170</v>
      </c>
      <c r="C38" s="409">
        <v>210.7</v>
      </c>
      <c r="D38" s="468">
        <v>50</v>
      </c>
      <c r="E38" s="411">
        <f t="shared" si="1"/>
        <v>10535</v>
      </c>
    </row>
    <row r="39" spans="2:5" ht="27.6" x14ac:dyDescent="0.3">
      <c r="B39" s="131" t="s">
        <v>171</v>
      </c>
      <c r="C39" s="409">
        <v>3</v>
      </c>
      <c r="D39" s="468">
        <v>2000</v>
      </c>
      <c r="E39" s="411">
        <f t="shared" si="1"/>
        <v>6000</v>
      </c>
    </row>
    <row r="40" spans="2:5" x14ac:dyDescent="0.3">
      <c r="B40" s="131" t="s">
        <v>172</v>
      </c>
      <c r="C40" s="409">
        <v>91</v>
      </c>
      <c r="D40" s="468">
        <v>500</v>
      </c>
      <c r="E40" s="411">
        <f t="shared" si="1"/>
        <v>45500</v>
      </c>
    </row>
    <row r="41" spans="2:5" x14ac:dyDescent="0.3">
      <c r="B41" s="131" t="s">
        <v>175</v>
      </c>
      <c r="C41" s="409">
        <v>2467</v>
      </c>
      <c r="D41" s="468">
        <v>25</v>
      </c>
      <c r="E41" s="411">
        <f t="shared" si="1"/>
        <v>61675</v>
      </c>
    </row>
    <row r="42" spans="2:5" x14ac:dyDescent="0.3">
      <c r="B42" s="131" t="s">
        <v>27</v>
      </c>
      <c r="C42" s="409">
        <v>130</v>
      </c>
      <c r="D42" s="468">
        <v>50</v>
      </c>
      <c r="E42" s="411">
        <f t="shared" si="1"/>
        <v>6500</v>
      </c>
    </row>
    <row r="43" spans="2:5" x14ac:dyDescent="0.3">
      <c r="B43" s="131" t="s">
        <v>176</v>
      </c>
      <c r="C43" s="409">
        <v>13</v>
      </c>
      <c r="D43" s="468">
        <v>120</v>
      </c>
      <c r="E43" s="411">
        <f t="shared" si="1"/>
        <v>1560</v>
      </c>
    </row>
    <row r="44" spans="2:5" x14ac:dyDescent="0.3">
      <c r="B44" s="131" t="s">
        <v>177</v>
      </c>
      <c r="C44" s="409">
        <v>27</v>
      </c>
      <c r="D44" s="468">
        <v>500</v>
      </c>
      <c r="E44" s="411">
        <f t="shared" si="1"/>
        <v>13500</v>
      </c>
    </row>
    <row r="45" spans="2:5" x14ac:dyDescent="0.3">
      <c r="B45" s="131" t="s">
        <v>178</v>
      </c>
      <c r="C45" s="409">
        <v>1948</v>
      </c>
      <c r="D45" s="468">
        <v>4</v>
      </c>
      <c r="E45" s="411">
        <f t="shared" si="1"/>
        <v>7792</v>
      </c>
    </row>
    <row r="46" spans="2:5" x14ac:dyDescent="0.3">
      <c r="B46" s="131" t="s">
        <v>186</v>
      </c>
      <c r="C46" s="409">
        <v>3</v>
      </c>
      <c r="D46" s="468">
        <v>2000</v>
      </c>
      <c r="E46" s="411">
        <f t="shared" si="1"/>
        <v>6000</v>
      </c>
    </row>
    <row r="47" spans="2:5" x14ac:dyDescent="0.3">
      <c r="B47" s="131" t="s">
        <v>187</v>
      </c>
      <c r="C47" s="409">
        <v>273</v>
      </c>
      <c r="D47" s="468">
        <v>50</v>
      </c>
      <c r="E47" s="411">
        <f t="shared" si="1"/>
        <v>13650</v>
      </c>
    </row>
    <row r="48" spans="2:5" x14ac:dyDescent="0.3">
      <c r="B48" s="131" t="s">
        <v>188</v>
      </c>
      <c r="C48" s="409">
        <v>5</v>
      </c>
      <c r="D48" s="468">
        <v>2500</v>
      </c>
      <c r="E48" s="411">
        <f t="shared" si="1"/>
        <v>12500</v>
      </c>
    </row>
    <row r="49" spans="2:5" x14ac:dyDescent="0.3">
      <c r="B49" s="131" t="s">
        <v>189</v>
      </c>
      <c r="C49" s="409">
        <v>7</v>
      </c>
      <c r="D49" s="468">
        <v>2500</v>
      </c>
      <c r="E49" s="411">
        <f t="shared" si="1"/>
        <v>17500</v>
      </c>
    </row>
    <row r="50" spans="2:5" x14ac:dyDescent="0.3">
      <c r="B50" s="131" t="s">
        <v>190</v>
      </c>
      <c r="C50" s="409">
        <v>3</v>
      </c>
      <c r="D50" s="468">
        <v>2500</v>
      </c>
      <c r="E50" s="411">
        <f t="shared" si="1"/>
        <v>7500</v>
      </c>
    </row>
    <row r="51" spans="2:5" x14ac:dyDescent="0.3">
      <c r="B51" s="131" t="s">
        <v>191</v>
      </c>
      <c r="C51" s="409">
        <v>11</v>
      </c>
      <c r="D51" s="468">
        <v>800</v>
      </c>
      <c r="E51" s="411">
        <f t="shared" si="1"/>
        <v>8800</v>
      </c>
    </row>
    <row r="52" spans="2:5" x14ac:dyDescent="0.3">
      <c r="B52" s="131" t="s">
        <v>192</v>
      </c>
      <c r="C52" s="409">
        <v>4</v>
      </c>
      <c r="D52" s="468">
        <v>3000</v>
      </c>
      <c r="E52" s="411">
        <f t="shared" si="1"/>
        <v>12000</v>
      </c>
    </row>
    <row r="53" spans="2:5" ht="15" thickBot="1" x14ac:dyDescent="0.35">
      <c r="B53" s="170" t="s">
        <v>193</v>
      </c>
      <c r="C53" s="412">
        <v>6</v>
      </c>
      <c r="D53" s="469">
        <v>3000</v>
      </c>
      <c r="E53" s="413">
        <f t="shared" si="1"/>
        <v>18000</v>
      </c>
    </row>
    <row r="54" spans="2:5" ht="15" thickBot="1" x14ac:dyDescent="0.35">
      <c r="B54" s="414" t="s">
        <v>557</v>
      </c>
      <c r="C54" s="423" t="s">
        <v>61</v>
      </c>
      <c r="D54" s="423" t="s">
        <v>61</v>
      </c>
      <c r="E54" s="415">
        <f>SUM(E7:E53)</f>
        <v>2500232</v>
      </c>
    </row>
  </sheetData>
  <mergeCells count="2">
    <mergeCell ref="B1:E1"/>
    <mergeCell ref="B2:E2"/>
  </mergeCells>
  <pageMargins left="0.7" right="0.7" top="0.75" bottom="0.75" header="0.3" footer="0.3"/>
  <pageSetup paperSize="9" scale="8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workbookViewId="0">
      <selection activeCell="B1" sqref="A1:E15"/>
    </sheetView>
  </sheetViews>
  <sheetFormatPr defaultRowHeight="14.4" x14ac:dyDescent="0.3"/>
  <cols>
    <col min="1" max="1" width="6.33203125" customWidth="1"/>
    <col min="2" max="2" width="30.109375" customWidth="1"/>
    <col min="3" max="3" width="17.6640625" customWidth="1"/>
    <col min="4" max="4" width="10.88671875" customWidth="1"/>
    <col min="5" max="5" width="24.6640625" customWidth="1"/>
  </cols>
  <sheetData>
    <row r="1" spans="1:5" ht="15.6" x14ac:dyDescent="0.3">
      <c r="A1" s="4"/>
      <c r="B1" s="4"/>
      <c r="C1" s="4"/>
      <c r="D1" s="4"/>
      <c r="E1" s="112" t="s">
        <v>264</v>
      </c>
    </row>
    <row r="2" spans="1:5" ht="34.950000000000003" customHeight="1" x14ac:dyDescent="0.35">
      <c r="A2" s="570" t="s">
        <v>598</v>
      </c>
      <c r="B2" s="570"/>
      <c r="C2" s="570"/>
      <c r="D2" s="570"/>
      <c r="E2" s="570"/>
    </row>
    <row r="3" spans="1:5" s="10" customFormat="1" ht="18.600000000000001" customHeight="1" x14ac:dyDescent="0.35">
      <c r="A3" s="173"/>
      <c r="B3" s="173"/>
      <c r="C3" s="173"/>
      <c r="D3" s="173"/>
      <c r="E3" s="173"/>
    </row>
    <row r="4" spans="1:5" ht="16.2" thickBot="1" x14ac:dyDescent="0.35">
      <c r="A4" s="4"/>
      <c r="B4" s="4"/>
      <c r="C4" s="4"/>
      <c r="D4" s="4"/>
      <c r="E4" s="4"/>
    </row>
    <row r="5" spans="1:5" ht="31.8" thickBot="1" x14ac:dyDescent="0.35">
      <c r="A5" s="21" t="s">
        <v>62</v>
      </c>
      <c r="B5" s="23" t="s">
        <v>239</v>
      </c>
      <c r="C5" s="23" t="s">
        <v>262</v>
      </c>
      <c r="D5" s="23" t="s">
        <v>240</v>
      </c>
      <c r="E5" s="24" t="s">
        <v>263</v>
      </c>
    </row>
    <row r="6" spans="1:5" ht="16.2" thickBot="1" x14ac:dyDescent="0.35">
      <c r="A6" s="21">
        <v>1</v>
      </c>
      <c r="B6" s="23">
        <v>2</v>
      </c>
      <c r="C6" s="23">
        <v>3</v>
      </c>
      <c r="D6" s="23">
        <v>4</v>
      </c>
      <c r="E6" s="24">
        <v>5</v>
      </c>
    </row>
    <row r="7" spans="1:5" x14ac:dyDescent="0.3">
      <c r="A7" s="113">
        <v>1</v>
      </c>
      <c r="B7" s="114" t="s">
        <v>93</v>
      </c>
      <c r="C7" s="115">
        <v>500</v>
      </c>
      <c r="D7" s="318">
        <v>45</v>
      </c>
      <c r="E7" s="321">
        <f>D7*C7</f>
        <v>22500</v>
      </c>
    </row>
    <row r="8" spans="1:5" s="10" customFormat="1" x14ac:dyDescent="0.3">
      <c r="A8" s="79">
        <v>2</v>
      </c>
      <c r="B8" s="116" t="s">
        <v>94</v>
      </c>
      <c r="C8" s="115">
        <v>330</v>
      </c>
      <c r="D8" s="319">
        <v>43</v>
      </c>
      <c r="E8" s="321">
        <f t="shared" ref="E8:E11" si="0">D8*C8</f>
        <v>14190</v>
      </c>
    </row>
    <row r="9" spans="1:5" s="10" customFormat="1" x14ac:dyDescent="0.3">
      <c r="A9" s="79">
        <v>3</v>
      </c>
      <c r="B9" s="116" t="s">
        <v>95</v>
      </c>
      <c r="C9" s="115">
        <v>2816</v>
      </c>
      <c r="D9" s="319">
        <v>43</v>
      </c>
      <c r="E9" s="321">
        <f t="shared" si="0"/>
        <v>121088</v>
      </c>
    </row>
    <row r="10" spans="1:5" s="10" customFormat="1" x14ac:dyDescent="0.3">
      <c r="A10" s="79">
        <v>4</v>
      </c>
      <c r="B10" s="116" t="s">
        <v>597</v>
      </c>
      <c r="C10" s="115">
        <v>2074</v>
      </c>
      <c r="D10" s="319">
        <v>45</v>
      </c>
      <c r="E10" s="321">
        <f t="shared" si="0"/>
        <v>93330</v>
      </c>
    </row>
    <row r="11" spans="1:5" s="10" customFormat="1" x14ac:dyDescent="0.3">
      <c r="A11" s="79">
        <v>5</v>
      </c>
      <c r="B11" s="116" t="s">
        <v>96</v>
      </c>
      <c r="C11" s="115">
        <v>2024</v>
      </c>
      <c r="D11" s="319">
        <v>45</v>
      </c>
      <c r="E11" s="321">
        <f t="shared" si="0"/>
        <v>91080</v>
      </c>
    </row>
    <row r="12" spans="1:5" s="10" customFormat="1" x14ac:dyDescent="0.3">
      <c r="A12" s="79"/>
      <c r="B12" s="116"/>
      <c r="C12" s="106"/>
      <c r="D12" s="319"/>
      <c r="E12" s="322"/>
    </row>
    <row r="13" spans="1:5" s="10" customFormat="1" x14ac:dyDescent="0.3">
      <c r="A13" s="488"/>
      <c r="B13" s="117" t="s">
        <v>359</v>
      </c>
      <c r="C13" s="491">
        <v>50</v>
      </c>
      <c r="D13" s="320">
        <v>125.78</v>
      </c>
      <c r="E13" s="323">
        <f>D13*C13</f>
        <v>6289</v>
      </c>
    </row>
    <row r="14" spans="1:5" s="10" customFormat="1" ht="15" thickBot="1" x14ac:dyDescent="0.35">
      <c r="A14" s="93"/>
      <c r="B14" s="117" t="s">
        <v>15</v>
      </c>
      <c r="C14" s="118">
        <v>50</v>
      </c>
      <c r="D14" s="320">
        <v>491.75</v>
      </c>
      <c r="E14" s="323">
        <f>C14*D14</f>
        <v>24587.5</v>
      </c>
    </row>
    <row r="15" spans="1:5" ht="18" thickBot="1" x14ac:dyDescent="0.35">
      <c r="A15" s="119"/>
      <c r="B15" s="73" t="s">
        <v>230</v>
      </c>
      <c r="C15" s="120"/>
      <c r="D15" s="120"/>
      <c r="E15" s="324">
        <f>SUM(E7:E14)</f>
        <v>373064.5</v>
      </c>
    </row>
    <row r="16" spans="1:5" ht="15.6" x14ac:dyDescent="0.3">
      <c r="A16" s="4"/>
      <c r="B16" s="4"/>
      <c r="C16" s="4"/>
      <c r="D16" s="4"/>
      <c r="E16" s="4"/>
    </row>
    <row r="17" spans="1:5" ht="15.6" x14ac:dyDescent="0.3">
      <c r="A17" s="11"/>
      <c r="B17" s="11"/>
      <c r="C17" s="11"/>
      <c r="D17" s="11"/>
      <c r="E17" s="11"/>
    </row>
  </sheetData>
  <mergeCells count="1">
    <mergeCell ref="A2:E2"/>
  </mergeCells>
  <pageMargins left="0.7" right="0.7" top="0.75" bottom="0.75" header="0.3" footer="0.3"/>
  <pageSetup paperSize="9"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7"/>
  <sheetViews>
    <sheetView topLeftCell="A37" zoomScale="85" zoomScaleNormal="85" workbookViewId="0">
      <selection activeCell="G26" sqref="G26"/>
    </sheetView>
  </sheetViews>
  <sheetFormatPr defaultRowHeight="14.4" x14ac:dyDescent="0.3"/>
  <cols>
    <col min="1" max="1" width="64.6640625" customWidth="1"/>
    <col min="2" max="2" width="17" customWidth="1"/>
    <col min="3" max="4" width="17.33203125" customWidth="1"/>
  </cols>
  <sheetData>
    <row r="1" spans="1:4" ht="15.6" x14ac:dyDescent="0.3">
      <c r="A1" s="571" t="s">
        <v>270</v>
      </c>
      <c r="B1" s="571"/>
      <c r="C1" s="571"/>
      <c r="D1" s="571"/>
    </row>
    <row r="2" spans="1:4" ht="18" customHeight="1" x14ac:dyDescent="0.3">
      <c r="A2" s="572" t="s">
        <v>599</v>
      </c>
      <c r="B2" s="572"/>
      <c r="C2" s="572"/>
      <c r="D2" s="572"/>
    </row>
    <row r="3" spans="1:4" s="10" customFormat="1" ht="18" customHeight="1" x14ac:dyDescent="0.3">
      <c r="A3" s="169"/>
      <c r="B3" s="169"/>
      <c r="C3" s="169"/>
      <c r="D3" s="169"/>
    </row>
    <row r="4" spans="1:4" ht="18.600000000000001" thickBot="1" x14ac:dyDescent="0.35">
      <c r="A4" s="573"/>
      <c r="B4" s="573"/>
      <c r="C4" s="573"/>
      <c r="D4" s="573"/>
    </row>
    <row r="5" spans="1:4" ht="16.2" thickBot="1" x14ac:dyDescent="0.35">
      <c r="A5" s="121" t="s">
        <v>207</v>
      </c>
      <c r="B5" s="123" t="s">
        <v>104</v>
      </c>
      <c r="C5" s="124" t="s">
        <v>103</v>
      </c>
      <c r="D5" s="125" t="s">
        <v>206</v>
      </c>
    </row>
    <row r="6" spans="1:4" ht="16.2" thickBot="1" x14ac:dyDescent="0.35">
      <c r="A6" s="21">
        <v>1</v>
      </c>
      <c r="B6" s="128">
        <v>2</v>
      </c>
      <c r="C6" s="128">
        <v>3</v>
      </c>
      <c r="D6" s="129">
        <v>4</v>
      </c>
    </row>
    <row r="7" spans="1:4" x14ac:dyDescent="0.3">
      <c r="A7" s="131" t="s">
        <v>112</v>
      </c>
      <c r="B7" s="130">
        <f t="shared" ref="B7:B45" si="0">D7/C7</f>
        <v>79.473239436619721</v>
      </c>
      <c r="C7" s="132">
        <v>7.1</v>
      </c>
      <c r="D7" s="190">
        <v>564.26</v>
      </c>
    </row>
    <row r="8" spans="1:4" x14ac:dyDescent="0.3">
      <c r="A8" s="131" t="s">
        <v>115</v>
      </c>
      <c r="B8" s="130">
        <f t="shared" si="0"/>
        <v>21.095479452054796</v>
      </c>
      <c r="C8" s="132">
        <v>73</v>
      </c>
      <c r="D8" s="190">
        <v>1539.97</v>
      </c>
    </row>
    <row r="9" spans="1:4" x14ac:dyDescent="0.3">
      <c r="A9" s="131" t="s">
        <v>118</v>
      </c>
      <c r="B9" s="130">
        <f t="shared" si="0"/>
        <v>39.601428571428571</v>
      </c>
      <c r="C9" s="132">
        <v>14</v>
      </c>
      <c r="D9" s="190">
        <v>554.41999999999996</v>
      </c>
    </row>
    <row r="10" spans="1:4" x14ac:dyDescent="0.3">
      <c r="A10" s="131" t="s">
        <v>119</v>
      </c>
      <c r="B10" s="130">
        <v>205.15</v>
      </c>
      <c r="C10" s="132">
        <v>5</v>
      </c>
      <c r="D10" s="190">
        <v>205.15</v>
      </c>
    </row>
    <row r="11" spans="1:4" x14ac:dyDescent="0.3">
      <c r="A11" s="131" t="s">
        <v>120</v>
      </c>
      <c r="B11" s="130">
        <f t="shared" si="0"/>
        <v>64.92</v>
      </c>
      <c r="C11" s="132">
        <v>3</v>
      </c>
      <c r="D11" s="190">
        <v>194.76</v>
      </c>
    </row>
    <row r="12" spans="1:4" x14ac:dyDescent="0.3">
      <c r="A12" s="131" t="s">
        <v>121</v>
      </c>
      <c r="B12" s="130">
        <f t="shared" si="0"/>
        <v>57.5625</v>
      </c>
      <c r="C12" s="132">
        <v>12</v>
      </c>
      <c r="D12" s="190">
        <v>690.75</v>
      </c>
    </row>
    <row r="13" spans="1:4" x14ac:dyDescent="0.3">
      <c r="A13" s="131" t="s">
        <v>122</v>
      </c>
      <c r="B13" s="130">
        <f t="shared" si="0"/>
        <v>54.532499999999999</v>
      </c>
      <c r="C13" s="132">
        <v>8</v>
      </c>
      <c r="D13" s="190">
        <v>436.26</v>
      </c>
    </row>
    <row r="14" spans="1:4" x14ac:dyDescent="0.3">
      <c r="A14" s="131" t="s">
        <v>123</v>
      </c>
      <c r="B14" s="130">
        <f t="shared" si="0"/>
        <v>53.790714285714287</v>
      </c>
      <c r="C14" s="132">
        <v>28</v>
      </c>
      <c r="D14" s="190">
        <v>1506.14</v>
      </c>
    </row>
    <row r="15" spans="1:4" x14ac:dyDescent="0.3">
      <c r="A15" s="131" t="s">
        <v>124</v>
      </c>
      <c r="B15" s="130">
        <f t="shared" si="0"/>
        <v>92.965999999999994</v>
      </c>
      <c r="C15" s="132">
        <v>5</v>
      </c>
      <c r="D15" s="190">
        <v>464.83</v>
      </c>
    </row>
    <row r="16" spans="1:4" x14ac:dyDescent="0.3">
      <c r="A16" s="131" t="s">
        <v>125</v>
      </c>
      <c r="B16" s="130">
        <f t="shared" si="0"/>
        <v>205.15</v>
      </c>
      <c r="C16" s="132">
        <v>1</v>
      </c>
      <c r="D16" s="190">
        <v>205.15</v>
      </c>
    </row>
    <row r="17" spans="1:4" x14ac:dyDescent="0.3">
      <c r="A17" s="131" t="s">
        <v>126</v>
      </c>
      <c r="B17" s="130">
        <f t="shared" si="0"/>
        <v>205.15</v>
      </c>
      <c r="C17" s="132">
        <v>1</v>
      </c>
      <c r="D17" s="190">
        <v>205.15</v>
      </c>
    </row>
    <row r="18" spans="1:4" x14ac:dyDescent="0.3">
      <c r="A18" s="131" t="s">
        <v>127</v>
      </c>
      <c r="B18" s="130">
        <f t="shared" si="0"/>
        <v>205.15</v>
      </c>
      <c r="C18" s="132">
        <v>1</v>
      </c>
      <c r="D18" s="190">
        <v>205.15</v>
      </c>
    </row>
    <row r="19" spans="1:4" x14ac:dyDescent="0.3">
      <c r="A19" s="131" t="s">
        <v>128</v>
      </c>
      <c r="B19" s="130">
        <f t="shared" si="0"/>
        <v>92.965999999999994</v>
      </c>
      <c r="C19" s="132">
        <v>5</v>
      </c>
      <c r="D19" s="190">
        <v>464.83</v>
      </c>
    </row>
    <row r="20" spans="1:4" x14ac:dyDescent="0.3">
      <c r="A20" s="131" t="s">
        <v>129</v>
      </c>
      <c r="B20" s="130">
        <f t="shared" si="0"/>
        <v>54.532000000000004</v>
      </c>
      <c r="C20" s="132">
        <v>5</v>
      </c>
      <c r="D20" s="190">
        <v>272.66000000000003</v>
      </c>
    </row>
    <row r="21" spans="1:4" x14ac:dyDescent="0.3">
      <c r="A21" s="131" t="s">
        <v>130</v>
      </c>
      <c r="B21" s="130">
        <f t="shared" si="0"/>
        <v>205.14500000000001</v>
      </c>
      <c r="C21" s="132">
        <v>2</v>
      </c>
      <c r="D21" s="190">
        <v>410.29</v>
      </c>
    </row>
    <row r="22" spans="1:4" x14ac:dyDescent="0.3">
      <c r="A22" s="131" t="s">
        <v>131</v>
      </c>
      <c r="B22" s="130">
        <f t="shared" si="0"/>
        <v>205.15</v>
      </c>
      <c r="C22" s="132">
        <v>1</v>
      </c>
      <c r="D22" s="190">
        <v>205.15</v>
      </c>
    </row>
    <row r="23" spans="1:4" x14ac:dyDescent="0.3">
      <c r="A23" s="131" t="s">
        <v>132</v>
      </c>
      <c r="B23" s="130">
        <f t="shared" si="0"/>
        <v>205.15</v>
      </c>
      <c r="C23" s="132">
        <v>1</v>
      </c>
      <c r="D23" s="190">
        <v>205.15</v>
      </c>
    </row>
    <row r="24" spans="1:4" x14ac:dyDescent="0.3">
      <c r="A24" s="131" t="s">
        <v>133</v>
      </c>
      <c r="B24" s="130">
        <f t="shared" si="0"/>
        <v>50.205000000000005</v>
      </c>
      <c r="C24" s="132">
        <v>12</v>
      </c>
      <c r="D24" s="190">
        <v>602.46</v>
      </c>
    </row>
    <row r="25" spans="1:4" x14ac:dyDescent="0.3">
      <c r="A25" s="131" t="s">
        <v>134</v>
      </c>
      <c r="B25" s="130">
        <f t="shared" si="0"/>
        <v>265.13400000000001</v>
      </c>
      <c r="C25" s="132">
        <v>5</v>
      </c>
      <c r="D25" s="190">
        <v>1325.67</v>
      </c>
    </row>
    <row r="26" spans="1:4" x14ac:dyDescent="0.3">
      <c r="A26" s="131" t="s">
        <v>135</v>
      </c>
      <c r="B26" s="130">
        <f t="shared" si="0"/>
        <v>71.411666666666676</v>
      </c>
      <c r="C26" s="132">
        <v>6</v>
      </c>
      <c r="D26" s="190">
        <v>428.47</v>
      </c>
    </row>
    <row r="27" spans="1:4" x14ac:dyDescent="0.3">
      <c r="A27" s="131" t="s">
        <v>136</v>
      </c>
      <c r="B27" s="130">
        <f t="shared" si="0"/>
        <v>758.59</v>
      </c>
      <c r="C27" s="132">
        <v>2</v>
      </c>
      <c r="D27" s="190">
        <v>1517.18</v>
      </c>
    </row>
    <row r="28" spans="1:4" x14ac:dyDescent="0.3">
      <c r="A28" s="131" t="s">
        <v>137</v>
      </c>
      <c r="B28" s="130">
        <f t="shared" si="0"/>
        <v>150</v>
      </c>
      <c r="C28" s="132">
        <v>10</v>
      </c>
      <c r="D28" s="190">
        <v>1500</v>
      </c>
    </row>
    <row r="29" spans="1:4" x14ac:dyDescent="0.3">
      <c r="A29" s="131" t="s">
        <v>138</v>
      </c>
      <c r="B29" s="130">
        <f t="shared" si="0"/>
        <v>297.33344827586205</v>
      </c>
      <c r="C29" s="132">
        <v>29</v>
      </c>
      <c r="D29" s="190">
        <v>8622.67</v>
      </c>
    </row>
    <row r="30" spans="1:4" x14ac:dyDescent="0.3">
      <c r="A30" s="131" t="s">
        <v>139</v>
      </c>
      <c r="B30" s="130">
        <f t="shared" si="0"/>
        <v>285.64800000000002</v>
      </c>
      <c r="C30" s="132">
        <v>10</v>
      </c>
      <c r="D30" s="190">
        <v>2856.48</v>
      </c>
    </row>
    <row r="31" spans="1:4" x14ac:dyDescent="0.3">
      <c r="A31" s="131" t="s">
        <v>140</v>
      </c>
      <c r="B31" s="130">
        <f t="shared" si="0"/>
        <v>317.45857142857142</v>
      </c>
      <c r="C31" s="132">
        <v>14</v>
      </c>
      <c r="D31" s="190">
        <v>4444.42</v>
      </c>
    </row>
    <row r="32" spans="1:4" x14ac:dyDescent="0.3">
      <c r="A32" s="131" t="s">
        <v>278</v>
      </c>
      <c r="B32" s="130">
        <f t="shared" si="0"/>
        <v>120</v>
      </c>
      <c r="C32" s="132">
        <v>25</v>
      </c>
      <c r="D32" s="190">
        <v>3000</v>
      </c>
    </row>
    <row r="33" spans="1:4" x14ac:dyDescent="0.3">
      <c r="A33" s="131" t="s">
        <v>141</v>
      </c>
      <c r="B33" s="130">
        <f t="shared" si="0"/>
        <v>200</v>
      </c>
      <c r="C33" s="132">
        <v>50</v>
      </c>
      <c r="D33" s="190">
        <v>10000</v>
      </c>
    </row>
    <row r="34" spans="1:4" x14ac:dyDescent="0.3">
      <c r="A34" s="131" t="s">
        <v>142</v>
      </c>
      <c r="B34" s="130">
        <f t="shared" si="0"/>
        <v>1324.37</v>
      </c>
      <c r="C34" s="132">
        <v>2</v>
      </c>
      <c r="D34" s="190">
        <v>2648.74</v>
      </c>
    </row>
    <row r="35" spans="1:4" x14ac:dyDescent="0.3">
      <c r="A35" s="131" t="s">
        <v>276</v>
      </c>
      <c r="B35" s="130">
        <f t="shared" si="0"/>
        <v>504.81798941798945</v>
      </c>
      <c r="C35" s="132">
        <v>18.899999999999999</v>
      </c>
      <c r="D35" s="190">
        <v>9541.06</v>
      </c>
    </row>
    <row r="36" spans="1:4" x14ac:dyDescent="0.3">
      <c r="A36" s="131" t="s">
        <v>143</v>
      </c>
      <c r="B36" s="130">
        <f t="shared" si="0"/>
        <v>998.46999999999991</v>
      </c>
      <c r="C36" s="132">
        <v>3</v>
      </c>
      <c r="D36" s="190">
        <v>2995.41</v>
      </c>
    </row>
    <row r="37" spans="1:4" x14ac:dyDescent="0.3">
      <c r="A37" s="131" t="s">
        <v>149</v>
      </c>
      <c r="B37" s="130">
        <f t="shared" si="0"/>
        <v>545.33000000000004</v>
      </c>
      <c r="C37" s="132">
        <v>1</v>
      </c>
      <c r="D37" s="190">
        <v>545.33000000000004</v>
      </c>
    </row>
    <row r="38" spans="1:4" x14ac:dyDescent="0.3">
      <c r="A38" s="131" t="s">
        <v>150</v>
      </c>
      <c r="B38" s="130">
        <f t="shared" si="0"/>
        <v>22.07</v>
      </c>
      <c r="C38" s="132">
        <v>1</v>
      </c>
      <c r="D38" s="190">
        <v>22.07</v>
      </c>
    </row>
    <row r="39" spans="1:4" x14ac:dyDescent="0.3">
      <c r="A39" s="131" t="s">
        <v>151</v>
      </c>
      <c r="B39" s="130">
        <f t="shared" si="0"/>
        <v>19.475000000000001</v>
      </c>
      <c r="C39" s="132">
        <v>2</v>
      </c>
      <c r="D39" s="190">
        <v>38.950000000000003</v>
      </c>
    </row>
    <row r="40" spans="1:4" x14ac:dyDescent="0.3">
      <c r="A40" s="131" t="s">
        <v>152</v>
      </c>
      <c r="B40" s="130">
        <f t="shared" si="0"/>
        <v>71.412499999999994</v>
      </c>
      <c r="C40" s="132">
        <v>8</v>
      </c>
      <c r="D40" s="190">
        <v>571.29999999999995</v>
      </c>
    </row>
    <row r="41" spans="1:4" x14ac:dyDescent="0.3">
      <c r="A41" s="131" t="s">
        <v>153</v>
      </c>
      <c r="B41" s="130">
        <f t="shared" si="0"/>
        <v>168.79</v>
      </c>
      <c r="C41" s="132">
        <v>1</v>
      </c>
      <c r="D41" s="190">
        <v>168.79</v>
      </c>
    </row>
    <row r="42" spans="1:4" x14ac:dyDescent="0.3">
      <c r="A42" s="131" t="s">
        <v>154</v>
      </c>
      <c r="B42" s="130">
        <f t="shared" si="0"/>
        <v>260</v>
      </c>
      <c r="C42" s="132">
        <v>5</v>
      </c>
      <c r="D42" s="190">
        <v>1300</v>
      </c>
    </row>
    <row r="43" spans="1:4" x14ac:dyDescent="0.3">
      <c r="A43" s="131" t="s">
        <v>155</v>
      </c>
      <c r="B43" s="130">
        <f t="shared" si="0"/>
        <v>171.48</v>
      </c>
      <c r="C43" s="132">
        <v>10</v>
      </c>
      <c r="D43" s="190">
        <v>1714.8</v>
      </c>
    </row>
    <row r="44" spans="1:4" x14ac:dyDescent="0.3">
      <c r="A44" s="131" t="s">
        <v>156</v>
      </c>
      <c r="B44" s="130">
        <f t="shared" si="0"/>
        <v>200</v>
      </c>
      <c r="C44" s="132">
        <v>15</v>
      </c>
      <c r="D44" s="190">
        <v>3000</v>
      </c>
    </row>
    <row r="45" spans="1:4" x14ac:dyDescent="0.3">
      <c r="A45" s="131" t="s">
        <v>157</v>
      </c>
      <c r="B45" s="130">
        <f t="shared" si="0"/>
        <v>15.58</v>
      </c>
      <c r="C45" s="132">
        <v>2</v>
      </c>
      <c r="D45" s="190">
        <v>31.16</v>
      </c>
    </row>
    <row r="46" spans="1:4" x14ac:dyDescent="0.3">
      <c r="A46" s="131" t="s">
        <v>173</v>
      </c>
      <c r="B46" s="130">
        <f t="shared" ref="B46:B66" si="1">D46/C46</f>
        <v>256.65111111111111</v>
      </c>
      <c r="C46" s="132">
        <v>4.5</v>
      </c>
      <c r="D46" s="190">
        <v>1154.93</v>
      </c>
    </row>
    <row r="47" spans="1:4" x14ac:dyDescent="0.3">
      <c r="A47" s="131" t="s">
        <v>174</v>
      </c>
      <c r="B47" s="130">
        <v>6.62</v>
      </c>
      <c r="C47" s="132">
        <v>500</v>
      </c>
      <c r="D47" s="190">
        <v>4479.82</v>
      </c>
    </row>
    <row r="48" spans="1:4" x14ac:dyDescent="0.3">
      <c r="A48" s="131" t="s">
        <v>179</v>
      </c>
      <c r="B48" s="130">
        <f t="shared" si="1"/>
        <v>13.433461538461538</v>
      </c>
      <c r="C48" s="132">
        <v>26</v>
      </c>
      <c r="D48" s="190">
        <v>349.27</v>
      </c>
    </row>
    <row r="49" spans="1:4" x14ac:dyDescent="0.3">
      <c r="A49" s="131" t="s">
        <v>180</v>
      </c>
      <c r="B49" s="130">
        <f t="shared" si="1"/>
        <v>19.48</v>
      </c>
      <c r="C49" s="132">
        <v>1</v>
      </c>
      <c r="D49" s="190">
        <v>19.48</v>
      </c>
    </row>
    <row r="50" spans="1:4" x14ac:dyDescent="0.3">
      <c r="A50" s="131" t="s">
        <v>181</v>
      </c>
      <c r="B50" s="130">
        <f t="shared" si="1"/>
        <v>85.69</v>
      </c>
      <c r="C50" s="132">
        <v>1</v>
      </c>
      <c r="D50" s="190">
        <v>85.69</v>
      </c>
    </row>
    <row r="51" spans="1:4" x14ac:dyDescent="0.3">
      <c r="A51" s="131" t="s">
        <v>182</v>
      </c>
      <c r="B51" s="130">
        <f t="shared" si="1"/>
        <v>123.35</v>
      </c>
      <c r="C51" s="132">
        <v>2</v>
      </c>
      <c r="D51" s="190">
        <v>246.7</v>
      </c>
    </row>
    <row r="52" spans="1:4" x14ac:dyDescent="0.3">
      <c r="A52" s="131" t="s">
        <v>183</v>
      </c>
      <c r="B52" s="130">
        <f t="shared" si="1"/>
        <v>571.29999999999995</v>
      </c>
      <c r="C52" s="132">
        <v>1</v>
      </c>
      <c r="D52" s="190">
        <v>571.29999999999995</v>
      </c>
    </row>
    <row r="53" spans="1:4" x14ac:dyDescent="0.3">
      <c r="A53" s="131" t="s">
        <v>184</v>
      </c>
      <c r="B53" s="130">
        <f t="shared" si="1"/>
        <v>506.37666666666672</v>
      </c>
      <c r="C53" s="132">
        <v>3</v>
      </c>
      <c r="D53" s="190">
        <v>1519.13</v>
      </c>
    </row>
    <row r="54" spans="1:4" x14ac:dyDescent="0.3">
      <c r="A54" s="131" t="s">
        <v>185</v>
      </c>
      <c r="B54" s="130">
        <f t="shared" si="1"/>
        <v>479.92124999999999</v>
      </c>
      <c r="C54" s="132">
        <v>16</v>
      </c>
      <c r="D54" s="190">
        <v>7678.74</v>
      </c>
    </row>
    <row r="55" spans="1:4" x14ac:dyDescent="0.3">
      <c r="A55" s="131" t="s">
        <v>194</v>
      </c>
      <c r="B55" s="130">
        <f t="shared" si="1"/>
        <v>19.908805555555556</v>
      </c>
      <c r="C55" s="132">
        <v>360</v>
      </c>
      <c r="D55" s="190">
        <v>7167.17</v>
      </c>
    </row>
    <row r="56" spans="1:4" x14ac:dyDescent="0.3">
      <c r="A56" s="131" t="s">
        <v>195</v>
      </c>
      <c r="B56" s="130">
        <f t="shared" si="1"/>
        <v>240.97204301075266</v>
      </c>
      <c r="C56" s="132">
        <v>9.3000000000000007</v>
      </c>
      <c r="D56" s="190">
        <v>2241.04</v>
      </c>
    </row>
    <row r="57" spans="1:4" x14ac:dyDescent="0.3">
      <c r="A57" s="131" t="s">
        <v>196</v>
      </c>
      <c r="B57" s="130">
        <f t="shared" si="1"/>
        <v>235.76315789473685</v>
      </c>
      <c r="C57" s="132">
        <v>3.8</v>
      </c>
      <c r="D57" s="190">
        <v>895.9</v>
      </c>
    </row>
    <row r="58" spans="1:4" x14ac:dyDescent="0.3">
      <c r="A58" s="131" t="s">
        <v>197</v>
      </c>
      <c r="B58" s="130">
        <f t="shared" si="1"/>
        <v>168.47499999999999</v>
      </c>
      <c r="C58" s="132">
        <v>0.8</v>
      </c>
      <c r="D58" s="190">
        <v>134.78</v>
      </c>
    </row>
    <row r="59" spans="1:4" x14ac:dyDescent="0.3">
      <c r="A59" s="131" t="s">
        <v>198</v>
      </c>
      <c r="B59" s="130">
        <f t="shared" si="1"/>
        <v>202.54999999999998</v>
      </c>
      <c r="C59" s="132">
        <v>6</v>
      </c>
      <c r="D59" s="190">
        <v>1215.3</v>
      </c>
    </row>
    <row r="60" spans="1:4" x14ac:dyDescent="0.3">
      <c r="A60" s="131" t="s">
        <v>199</v>
      </c>
      <c r="B60" s="130">
        <f t="shared" si="1"/>
        <v>227.68214285714288</v>
      </c>
      <c r="C60" s="132">
        <v>2.8</v>
      </c>
      <c r="D60" s="190">
        <v>637.51</v>
      </c>
    </row>
    <row r="61" spans="1:4" x14ac:dyDescent="0.3">
      <c r="A61" s="131" t="s">
        <v>200</v>
      </c>
      <c r="B61" s="130">
        <f t="shared" si="1"/>
        <v>233.46219512195125</v>
      </c>
      <c r="C61" s="132">
        <v>8.1999999999999993</v>
      </c>
      <c r="D61" s="190">
        <v>1914.39</v>
      </c>
    </row>
    <row r="62" spans="1:4" x14ac:dyDescent="0.3">
      <c r="A62" s="131" t="s">
        <v>201</v>
      </c>
      <c r="B62" s="130">
        <f t="shared" si="1"/>
        <v>284.35000000000002</v>
      </c>
      <c r="C62" s="132">
        <v>4</v>
      </c>
      <c r="D62" s="190">
        <v>1137.4000000000001</v>
      </c>
    </row>
    <row r="63" spans="1:4" x14ac:dyDescent="0.3">
      <c r="A63" s="131" t="s">
        <v>202</v>
      </c>
      <c r="B63" s="130">
        <f t="shared" si="1"/>
        <v>226.77666666666667</v>
      </c>
      <c r="C63" s="132">
        <v>6</v>
      </c>
      <c r="D63" s="190">
        <v>1360.66</v>
      </c>
    </row>
    <row r="64" spans="1:4" x14ac:dyDescent="0.3">
      <c r="A64" s="131" t="s">
        <v>203</v>
      </c>
      <c r="B64" s="130">
        <f t="shared" si="1"/>
        <v>299.53500000000003</v>
      </c>
      <c r="C64" s="132">
        <v>2</v>
      </c>
      <c r="D64" s="190">
        <v>599.07000000000005</v>
      </c>
    </row>
    <row r="65" spans="1:4" x14ac:dyDescent="0.3">
      <c r="A65" s="131" t="s">
        <v>204</v>
      </c>
      <c r="B65" s="130">
        <f t="shared" si="1"/>
        <v>258.38</v>
      </c>
      <c r="C65" s="132">
        <v>2</v>
      </c>
      <c r="D65" s="190">
        <v>516.76</v>
      </c>
    </row>
    <row r="66" spans="1:4" ht="15" thickBot="1" x14ac:dyDescent="0.35">
      <c r="A66" s="170" t="s">
        <v>205</v>
      </c>
      <c r="B66" s="171">
        <f t="shared" si="1"/>
        <v>228.92894736842106</v>
      </c>
      <c r="C66" s="172">
        <v>3.8</v>
      </c>
      <c r="D66" s="191">
        <v>869.93</v>
      </c>
    </row>
    <row r="67" spans="1:4" ht="15" thickBot="1" x14ac:dyDescent="0.35">
      <c r="A67" s="426" t="s">
        <v>82</v>
      </c>
      <c r="B67" s="424" t="s">
        <v>61</v>
      </c>
      <c r="C67" s="425" t="s">
        <v>61</v>
      </c>
      <c r="D67" s="192">
        <f>SUM(D7:D66)</f>
        <v>99999.999999999985</v>
      </c>
    </row>
  </sheetData>
  <mergeCells count="3">
    <mergeCell ref="A1:D1"/>
    <mergeCell ref="A2:D2"/>
    <mergeCell ref="A4:D4"/>
  </mergeCells>
  <pageMargins left="0.7" right="0.7" top="0.75" bottom="0.75" header="0.3" footer="0.3"/>
  <pageSetup paperSize="9" scale="7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7"/>
  <sheetViews>
    <sheetView topLeftCell="A37" workbookViewId="0">
      <selection activeCell="M55" sqref="M55"/>
    </sheetView>
  </sheetViews>
  <sheetFormatPr defaultColWidth="9.109375" defaultRowHeight="13.2" x14ac:dyDescent="0.25"/>
  <cols>
    <col min="1" max="1" width="44.6640625" style="292" customWidth="1"/>
    <col min="2" max="2" width="13.44140625" style="292" customWidth="1"/>
    <col min="3" max="3" width="12.109375" style="292" customWidth="1"/>
    <col min="4" max="4" width="12.5546875" style="292" customWidth="1"/>
    <col min="5" max="6" width="0" style="292" hidden="1" customWidth="1"/>
    <col min="7" max="7" width="11.33203125" style="292" hidden="1" customWidth="1"/>
    <col min="8" max="8" width="12.44140625" style="292" hidden="1" customWidth="1"/>
    <col min="9" max="10" width="15" style="292" hidden="1" customWidth="1"/>
    <col min="11" max="11" width="14" style="292" customWidth="1"/>
    <col min="12" max="12" width="10.88671875" style="292" customWidth="1"/>
    <col min="13" max="13" width="18.33203125" style="292" customWidth="1"/>
    <col min="14" max="14" width="11.33203125" style="292" customWidth="1"/>
    <col min="15" max="16384" width="9.109375" style="292"/>
  </cols>
  <sheetData>
    <row r="1" spans="1:20" ht="15.6" x14ac:dyDescent="0.25">
      <c r="A1" s="309"/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571" t="s">
        <v>565</v>
      </c>
      <c r="M1" s="571"/>
      <c r="N1" s="308"/>
      <c r="O1" s="308"/>
      <c r="P1" s="308"/>
      <c r="Q1" s="308"/>
      <c r="R1" s="308"/>
      <c r="S1" s="308"/>
      <c r="T1" s="308"/>
    </row>
    <row r="2" spans="1:20" ht="15.6" x14ac:dyDescent="0.25">
      <c r="A2" s="580" t="s">
        <v>600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</row>
    <row r="3" spans="1:20" ht="15.6" x14ac:dyDescent="0.25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</row>
    <row r="4" spans="1:20" ht="13.8" x14ac:dyDescent="0.25">
      <c r="A4" s="307" t="s">
        <v>564</v>
      </c>
      <c r="B4" s="293"/>
      <c r="C4" s="307"/>
      <c r="D4" s="306"/>
      <c r="E4" s="306"/>
      <c r="F4" s="306"/>
      <c r="G4" s="306"/>
      <c r="H4" s="306"/>
      <c r="I4" s="306"/>
      <c r="J4" s="306"/>
      <c r="K4" s="293"/>
      <c r="L4" s="293"/>
      <c r="M4" s="293"/>
    </row>
    <row r="5" spans="1:20" ht="13.8" x14ac:dyDescent="0.25">
      <c r="A5" s="307" t="s">
        <v>563</v>
      </c>
      <c r="B5" s="293"/>
      <c r="C5" s="307"/>
      <c r="D5" s="306"/>
      <c r="E5" s="306"/>
      <c r="F5" s="306"/>
      <c r="G5" s="306"/>
      <c r="H5" s="306"/>
      <c r="I5" s="306"/>
      <c r="J5" s="306"/>
      <c r="K5" s="293"/>
      <c r="L5" s="293"/>
      <c r="M5" s="293"/>
    </row>
    <row r="6" spans="1:20" ht="15" thickBot="1" x14ac:dyDescent="0.35">
      <c r="A6" s="5"/>
      <c r="B6" s="5"/>
      <c r="C6" s="5"/>
      <c r="D6" s="293"/>
      <c r="E6" s="293"/>
      <c r="F6" s="293"/>
      <c r="G6" s="293"/>
      <c r="H6" s="293"/>
      <c r="I6" s="293"/>
      <c r="J6" s="293"/>
      <c r="K6" s="293"/>
      <c r="L6" s="293"/>
      <c r="M6" s="293"/>
    </row>
    <row r="7" spans="1:20" ht="12" customHeight="1" x14ac:dyDescent="0.25">
      <c r="A7" s="587" t="s">
        <v>562</v>
      </c>
      <c r="B7" s="585" t="s">
        <v>561</v>
      </c>
      <c r="C7" s="585" t="s">
        <v>560</v>
      </c>
      <c r="D7" s="585" t="s">
        <v>559</v>
      </c>
      <c r="E7" s="585" t="s">
        <v>558</v>
      </c>
      <c r="F7" s="585"/>
      <c r="G7" s="585"/>
      <c r="H7" s="585" t="s">
        <v>557</v>
      </c>
      <c r="I7" s="585" t="s">
        <v>556</v>
      </c>
      <c r="J7" s="585"/>
      <c r="K7" s="585" t="s">
        <v>555</v>
      </c>
      <c r="L7" s="581" t="s">
        <v>554</v>
      </c>
      <c r="M7" s="583" t="s">
        <v>553</v>
      </c>
    </row>
    <row r="8" spans="1:20" ht="29.25" customHeight="1" thickBot="1" x14ac:dyDescent="0.3">
      <c r="A8" s="588"/>
      <c r="B8" s="586"/>
      <c r="C8" s="586"/>
      <c r="D8" s="586"/>
      <c r="E8" s="467" t="s">
        <v>552</v>
      </c>
      <c r="F8" s="586" t="s">
        <v>551</v>
      </c>
      <c r="G8" s="586"/>
      <c r="H8" s="586"/>
      <c r="I8" s="586"/>
      <c r="J8" s="586"/>
      <c r="K8" s="586"/>
      <c r="L8" s="582"/>
      <c r="M8" s="584"/>
    </row>
    <row r="9" spans="1:20" ht="14.1" customHeight="1" x14ac:dyDescent="0.25">
      <c r="A9" s="589" t="s">
        <v>550</v>
      </c>
      <c r="B9" s="590"/>
      <c r="C9" s="590"/>
      <c r="D9" s="590"/>
      <c r="E9" s="590"/>
      <c r="F9" s="590"/>
      <c r="G9" s="590"/>
      <c r="H9" s="590"/>
      <c r="I9" s="590"/>
      <c r="J9" s="590"/>
      <c r="K9" s="590"/>
      <c r="L9" s="305"/>
      <c r="M9" s="304"/>
    </row>
    <row r="10" spans="1:20" ht="14.1" customHeight="1" x14ac:dyDescent="0.25">
      <c r="A10" s="302" t="s">
        <v>549</v>
      </c>
      <c r="B10" s="465">
        <v>38</v>
      </c>
      <c r="C10" s="465">
        <v>1</v>
      </c>
      <c r="D10" s="465">
        <v>4</v>
      </c>
      <c r="E10" s="465">
        <v>15</v>
      </c>
      <c r="F10" s="574">
        <v>162</v>
      </c>
      <c r="G10" s="574"/>
      <c r="H10" s="465">
        <f>SUM(E10:G10)</f>
        <v>177</v>
      </c>
      <c r="I10" s="465">
        <v>7</v>
      </c>
      <c r="J10" s="465">
        <f>(H10-I10)</f>
        <v>170</v>
      </c>
      <c r="K10" s="465">
        <v>10</v>
      </c>
      <c r="L10" s="300">
        <v>4500</v>
      </c>
      <c r="M10" s="299">
        <f xml:space="preserve"> (K10*L10)</f>
        <v>45000</v>
      </c>
    </row>
    <row r="11" spans="1:20" ht="14.1" customHeight="1" x14ac:dyDescent="0.25">
      <c r="A11" s="302" t="s">
        <v>548</v>
      </c>
      <c r="B11" s="465">
        <v>58</v>
      </c>
      <c r="C11" s="465">
        <v>1</v>
      </c>
      <c r="D11" s="465">
        <v>4</v>
      </c>
      <c r="E11" s="465">
        <v>31</v>
      </c>
      <c r="F11" s="574">
        <v>275</v>
      </c>
      <c r="G11" s="574"/>
      <c r="H11" s="465">
        <f>SUM(E11:G11)</f>
        <v>306</v>
      </c>
      <c r="I11" s="465"/>
      <c r="J11" s="465">
        <f>(H11-I11)</f>
        <v>306</v>
      </c>
      <c r="K11" s="465">
        <v>10</v>
      </c>
      <c r="L11" s="300">
        <v>4500</v>
      </c>
      <c r="M11" s="299">
        <f xml:space="preserve"> (K11*L11)</f>
        <v>45000</v>
      </c>
    </row>
    <row r="12" spans="1:20" ht="14.1" customHeight="1" x14ac:dyDescent="0.25">
      <c r="A12" s="302" t="s">
        <v>547</v>
      </c>
      <c r="B12" s="465">
        <v>38</v>
      </c>
      <c r="C12" s="465">
        <v>1</v>
      </c>
      <c r="D12" s="465">
        <v>4</v>
      </c>
      <c r="E12" s="465">
        <v>1</v>
      </c>
      <c r="F12" s="574">
        <v>34</v>
      </c>
      <c r="G12" s="574"/>
      <c r="H12" s="465">
        <f>SUM(E12:G12)</f>
        <v>35</v>
      </c>
      <c r="I12" s="465"/>
      <c r="J12" s="465">
        <f>(H12-I12)</f>
        <v>35</v>
      </c>
      <c r="K12" s="465">
        <v>10</v>
      </c>
      <c r="L12" s="300">
        <v>3500</v>
      </c>
      <c r="M12" s="299">
        <f xml:space="preserve"> (K12*L12)</f>
        <v>35000</v>
      </c>
    </row>
    <row r="13" spans="1:20" ht="14.1" customHeight="1" x14ac:dyDescent="0.25">
      <c r="A13" s="302" t="s">
        <v>546</v>
      </c>
      <c r="B13" s="465">
        <v>58</v>
      </c>
      <c r="C13" s="465">
        <v>1</v>
      </c>
      <c r="D13" s="465">
        <v>4</v>
      </c>
      <c r="E13" s="465">
        <v>2</v>
      </c>
      <c r="F13" s="574">
        <v>45</v>
      </c>
      <c r="G13" s="574"/>
      <c r="H13" s="465">
        <f>SUM(E13:G13)</f>
        <v>47</v>
      </c>
      <c r="I13" s="465">
        <v>1</v>
      </c>
      <c r="J13" s="465">
        <f>(H13-I13)</f>
        <v>46</v>
      </c>
      <c r="K13" s="465">
        <v>10</v>
      </c>
      <c r="L13" s="300">
        <v>3500</v>
      </c>
      <c r="M13" s="299">
        <f xml:space="preserve"> (K13*L13)</f>
        <v>35000</v>
      </c>
    </row>
    <row r="14" spans="1:20" ht="14.1" customHeight="1" x14ac:dyDescent="0.25">
      <c r="A14" s="575" t="s">
        <v>545</v>
      </c>
      <c r="B14" s="576"/>
      <c r="C14" s="576"/>
      <c r="D14" s="576"/>
      <c r="E14" s="576"/>
      <c r="F14" s="576"/>
      <c r="G14" s="576"/>
      <c r="H14" s="576"/>
      <c r="I14" s="576"/>
      <c r="J14" s="576"/>
      <c r="K14" s="576"/>
      <c r="L14" s="300"/>
      <c r="M14" s="299"/>
    </row>
    <row r="15" spans="1:20" ht="14.1" customHeight="1" x14ac:dyDescent="0.25">
      <c r="A15" s="302" t="s">
        <v>544</v>
      </c>
      <c r="B15" s="465">
        <v>450</v>
      </c>
      <c r="C15" s="465">
        <v>3</v>
      </c>
      <c r="D15" s="301">
        <v>1</v>
      </c>
      <c r="E15" s="301">
        <v>197</v>
      </c>
      <c r="F15" s="574">
        <v>267</v>
      </c>
      <c r="G15" s="574"/>
      <c r="H15" s="465">
        <f t="shared" ref="H15:H23" si="0">SUM(E15:G15)</f>
        <v>464</v>
      </c>
      <c r="I15" s="465">
        <v>21</v>
      </c>
      <c r="J15" s="465">
        <f t="shared" ref="J15:J23" si="1">(H15-I15)</f>
        <v>443</v>
      </c>
      <c r="K15" s="465">
        <v>50</v>
      </c>
      <c r="L15" s="300">
        <v>500</v>
      </c>
      <c r="M15" s="299">
        <f t="shared" ref="M15:M23" si="2" xml:space="preserve"> (K15*L15)</f>
        <v>25000</v>
      </c>
    </row>
    <row r="16" spans="1:20" ht="14.1" customHeight="1" x14ac:dyDescent="0.25">
      <c r="A16" s="302" t="s">
        <v>543</v>
      </c>
      <c r="B16" s="465">
        <v>75</v>
      </c>
      <c r="C16" s="465">
        <v>1</v>
      </c>
      <c r="D16" s="301">
        <v>2</v>
      </c>
      <c r="E16" s="301">
        <v>14</v>
      </c>
      <c r="F16" s="574">
        <v>64</v>
      </c>
      <c r="G16" s="574"/>
      <c r="H16" s="465">
        <f t="shared" si="0"/>
        <v>78</v>
      </c>
      <c r="I16" s="465"/>
      <c r="J16" s="465">
        <f t="shared" si="1"/>
        <v>78</v>
      </c>
      <c r="K16" s="465">
        <v>20</v>
      </c>
      <c r="L16" s="300">
        <v>1500</v>
      </c>
      <c r="M16" s="299">
        <f t="shared" si="2"/>
        <v>30000</v>
      </c>
    </row>
    <row r="17" spans="1:13" ht="14.1" customHeight="1" x14ac:dyDescent="0.25">
      <c r="A17" s="302" t="s">
        <v>542</v>
      </c>
      <c r="B17" s="465">
        <v>75</v>
      </c>
      <c r="C17" s="465">
        <v>1</v>
      </c>
      <c r="D17" s="301">
        <v>2</v>
      </c>
      <c r="E17" s="301">
        <v>255</v>
      </c>
      <c r="F17" s="574">
        <v>219</v>
      </c>
      <c r="G17" s="574"/>
      <c r="H17" s="465">
        <f t="shared" si="0"/>
        <v>474</v>
      </c>
      <c r="I17" s="465">
        <v>40</v>
      </c>
      <c r="J17" s="465">
        <f t="shared" si="1"/>
        <v>434</v>
      </c>
      <c r="K17" s="465">
        <v>20</v>
      </c>
      <c r="L17" s="300">
        <v>1100</v>
      </c>
      <c r="M17" s="299">
        <f t="shared" si="2"/>
        <v>22000</v>
      </c>
    </row>
    <row r="18" spans="1:13" ht="14.1" customHeight="1" x14ac:dyDescent="0.25">
      <c r="A18" s="302" t="s">
        <v>541</v>
      </c>
      <c r="B18" s="465">
        <v>115</v>
      </c>
      <c r="C18" s="465">
        <v>1</v>
      </c>
      <c r="D18" s="301">
        <v>2</v>
      </c>
      <c r="E18" s="301"/>
      <c r="F18" s="574">
        <v>157</v>
      </c>
      <c r="G18" s="574"/>
      <c r="H18" s="465">
        <f t="shared" si="0"/>
        <v>157</v>
      </c>
      <c r="I18" s="465"/>
      <c r="J18" s="465">
        <f t="shared" si="1"/>
        <v>157</v>
      </c>
      <c r="K18" s="465">
        <v>20</v>
      </c>
      <c r="L18" s="300">
        <v>1100</v>
      </c>
      <c r="M18" s="299">
        <f t="shared" si="2"/>
        <v>22000</v>
      </c>
    </row>
    <row r="19" spans="1:13" ht="14.1" customHeight="1" x14ac:dyDescent="0.25">
      <c r="A19" s="302" t="s">
        <v>540</v>
      </c>
      <c r="B19" s="465">
        <v>127</v>
      </c>
      <c r="C19" s="465">
        <v>1</v>
      </c>
      <c r="D19" s="301">
        <v>3</v>
      </c>
      <c r="E19" s="301">
        <v>100</v>
      </c>
      <c r="F19" s="574">
        <v>299</v>
      </c>
      <c r="G19" s="574"/>
      <c r="H19" s="465">
        <f t="shared" si="0"/>
        <v>399</v>
      </c>
      <c r="I19" s="465">
        <v>29</v>
      </c>
      <c r="J19" s="465">
        <f t="shared" si="1"/>
        <v>370</v>
      </c>
      <c r="K19" s="465">
        <v>20</v>
      </c>
      <c r="L19" s="300">
        <v>900</v>
      </c>
      <c r="M19" s="299">
        <f t="shared" si="2"/>
        <v>18000</v>
      </c>
    </row>
    <row r="20" spans="1:13" ht="14.1" customHeight="1" x14ac:dyDescent="0.25">
      <c r="A20" s="302" t="s">
        <v>539</v>
      </c>
      <c r="B20" s="465">
        <v>190</v>
      </c>
      <c r="C20" s="465">
        <v>1</v>
      </c>
      <c r="D20" s="301">
        <v>2</v>
      </c>
      <c r="E20" s="301">
        <v>12</v>
      </c>
      <c r="F20" s="574">
        <v>92</v>
      </c>
      <c r="G20" s="574"/>
      <c r="H20" s="465">
        <f t="shared" si="0"/>
        <v>104</v>
      </c>
      <c r="I20" s="465">
        <v>5</v>
      </c>
      <c r="J20" s="465">
        <f t="shared" si="1"/>
        <v>99</v>
      </c>
      <c r="K20" s="465">
        <v>10</v>
      </c>
      <c r="L20" s="300">
        <v>1500</v>
      </c>
      <c r="M20" s="299">
        <f t="shared" si="2"/>
        <v>15000</v>
      </c>
    </row>
    <row r="21" spans="1:13" ht="14.1" customHeight="1" x14ac:dyDescent="0.25">
      <c r="A21" s="302" t="s">
        <v>538</v>
      </c>
      <c r="B21" s="465">
        <v>77</v>
      </c>
      <c r="C21" s="465">
        <v>1</v>
      </c>
      <c r="D21" s="301">
        <v>3</v>
      </c>
      <c r="E21" s="301">
        <v>153</v>
      </c>
      <c r="F21" s="574">
        <v>201</v>
      </c>
      <c r="G21" s="574"/>
      <c r="H21" s="465">
        <f t="shared" si="0"/>
        <v>354</v>
      </c>
      <c r="I21" s="465">
        <v>21</v>
      </c>
      <c r="J21" s="465">
        <f t="shared" si="1"/>
        <v>333</v>
      </c>
      <c r="K21" s="465">
        <v>40</v>
      </c>
      <c r="L21" s="300">
        <v>800</v>
      </c>
      <c r="M21" s="299">
        <f t="shared" si="2"/>
        <v>32000</v>
      </c>
    </row>
    <row r="22" spans="1:13" ht="14.1" customHeight="1" x14ac:dyDescent="0.25">
      <c r="A22" s="302" t="s">
        <v>537</v>
      </c>
      <c r="B22" s="465">
        <v>345</v>
      </c>
      <c r="C22" s="465">
        <v>3</v>
      </c>
      <c r="D22" s="301">
        <v>2</v>
      </c>
      <c r="E22" s="301">
        <v>69</v>
      </c>
      <c r="F22" s="574">
        <v>72</v>
      </c>
      <c r="G22" s="574"/>
      <c r="H22" s="465">
        <f t="shared" si="0"/>
        <v>141</v>
      </c>
      <c r="I22" s="465">
        <v>24</v>
      </c>
      <c r="J22" s="465">
        <f t="shared" si="1"/>
        <v>117</v>
      </c>
      <c r="K22" s="465">
        <v>40</v>
      </c>
      <c r="L22" s="300">
        <v>500</v>
      </c>
      <c r="M22" s="299">
        <f t="shared" si="2"/>
        <v>20000</v>
      </c>
    </row>
    <row r="23" spans="1:13" ht="14.1" customHeight="1" x14ac:dyDescent="0.25">
      <c r="A23" s="302" t="s">
        <v>536</v>
      </c>
      <c r="B23" s="465">
        <v>115</v>
      </c>
      <c r="C23" s="465">
        <v>1</v>
      </c>
      <c r="D23" s="301">
        <v>2</v>
      </c>
      <c r="E23" s="301">
        <v>0</v>
      </c>
      <c r="F23" s="574">
        <v>101</v>
      </c>
      <c r="G23" s="574"/>
      <c r="H23" s="465">
        <f t="shared" si="0"/>
        <v>101</v>
      </c>
      <c r="I23" s="465">
        <v>8</v>
      </c>
      <c r="J23" s="465">
        <f t="shared" si="1"/>
        <v>93</v>
      </c>
      <c r="K23" s="465">
        <v>20</v>
      </c>
      <c r="L23" s="300">
        <v>400</v>
      </c>
      <c r="M23" s="299">
        <f t="shared" si="2"/>
        <v>8000</v>
      </c>
    </row>
    <row r="24" spans="1:13" ht="14.1" customHeight="1" x14ac:dyDescent="0.25">
      <c r="A24" s="575" t="s">
        <v>535</v>
      </c>
      <c r="B24" s="576"/>
      <c r="C24" s="576"/>
      <c r="D24" s="576"/>
      <c r="E24" s="576"/>
      <c r="F24" s="576"/>
      <c r="G24" s="576"/>
      <c r="H24" s="576"/>
      <c r="I24" s="576"/>
      <c r="J24" s="576"/>
      <c r="K24" s="576"/>
      <c r="L24" s="300"/>
      <c r="M24" s="299"/>
    </row>
    <row r="25" spans="1:13" ht="14.1" customHeight="1" x14ac:dyDescent="0.25">
      <c r="A25" s="302" t="s">
        <v>534</v>
      </c>
      <c r="B25" s="465">
        <v>600</v>
      </c>
      <c r="C25" s="465">
        <v>4</v>
      </c>
      <c r="D25" s="301">
        <v>1</v>
      </c>
      <c r="E25" s="301">
        <v>170</v>
      </c>
      <c r="F25" s="574">
        <v>258</v>
      </c>
      <c r="G25" s="574"/>
      <c r="H25" s="465">
        <f>SUM(E25:G25)</f>
        <v>428</v>
      </c>
      <c r="I25" s="465">
        <v>55</v>
      </c>
      <c r="J25" s="465">
        <f>(H25-I25)</f>
        <v>373</v>
      </c>
      <c r="K25" s="465">
        <v>100</v>
      </c>
      <c r="L25" s="300">
        <v>80</v>
      </c>
      <c r="M25" s="299">
        <f xml:space="preserve"> (K25*L25)</f>
        <v>8000</v>
      </c>
    </row>
    <row r="26" spans="1:13" ht="14.1" customHeight="1" x14ac:dyDescent="0.25">
      <c r="A26" s="302" t="s">
        <v>533</v>
      </c>
      <c r="B26" s="465">
        <v>920</v>
      </c>
      <c r="C26" s="465">
        <v>4</v>
      </c>
      <c r="D26" s="301">
        <v>1</v>
      </c>
      <c r="E26" s="301">
        <v>280</v>
      </c>
      <c r="F26" s="574">
        <v>315</v>
      </c>
      <c r="G26" s="574"/>
      <c r="H26" s="465">
        <f>SUM(E26:G26)</f>
        <v>595</v>
      </c>
      <c r="I26" s="465">
        <v>83</v>
      </c>
      <c r="J26" s="465">
        <f>(H26-I26)</f>
        <v>512</v>
      </c>
      <c r="K26" s="465">
        <v>100</v>
      </c>
      <c r="L26" s="300">
        <v>110</v>
      </c>
      <c r="M26" s="299">
        <f xml:space="preserve"> (K26*L26)</f>
        <v>11000</v>
      </c>
    </row>
    <row r="27" spans="1:13" ht="14.1" customHeight="1" x14ac:dyDescent="0.25">
      <c r="A27" s="302" t="s">
        <v>532</v>
      </c>
      <c r="B27" s="465">
        <v>450</v>
      </c>
      <c r="C27" s="465">
        <v>3</v>
      </c>
      <c r="D27" s="301">
        <v>1</v>
      </c>
      <c r="E27" s="301">
        <v>297</v>
      </c>
      <c r="F27" s="574">
        <v>405</v>
      </c>
      <c r="G27" s="574"/>
      <c r="H27" s="465">
        <f>SUM(E27:G27)</f>
        <v>702</v>
      </c>
      <c r="I27" s="465">
        <v>67</v>
      </c>
      <c r="J27" s="465">
        <f>(H27-I27)</f>
        <v>635</v>
      </c>
      <c r="K27" s="465">
        <v>100</v>
      </c>
      <c r="L27" s="300">
        <v>150</v>
      </c>
      <c r="M27" s="299">
        <f xml:space="preserve"> (K27*L27)</f>
        <v>15000</v>
      </c>
    </row>
    <row r="28" spans="1:13" ht="14.1" customHeight="1" x14ac:dyDescent="0.25">
      <c r="A28" s="302" t="s">
        <v>531</v>
      </c>
      <c r="B28" s="465">
        <v>460</v>
      </c>
      <c r="C28" s="465">
        <v>2</v>
      </c>
      <c r="D28" s="301">
        <v>1</v>
      </c>
      <c r="E28" s="301">
        <v>142</v>
      </c>
      <c r="F28" s="574">
        <v>321</v>
      </c>
      <c r="G28" s="574"/>
      <c r="H28" s="465">
        <f>SUM(E28:G28)</f>
        <v>463</v>
      </c>
      <c r="I28" s="465">
        <v>47</v>
      </c>
      <c r="J28" s="465">
        <f>(H28-I28)</f>
        <v>416</v>
      </c>
      <c r="K28" s="465">
        <v>100</v>
      </c>
      <c r="L28" s="300">
        <v>200</v>
      </c>
      <c r="M28" s="299">
        <f xml:space="preserve"> (K28*L28)</f>
        <v>20000</v>
      </c>
    </row>
    <row r="29" spans="1:13" ht="14.1" customHeight="1" x14ac:dyDescent="0.25">
      <c r="A29" s="575" t="s">
        <v>530</v>
      </c>
      <c r="B29" s="576"/>
      <c r="C29" s="576"/>
      <c r="D29" s="576"/>
      <c r="E29" s="576"/>
      <c r="F29" s="576"/>
      <c r="G29" s="576"/>
      <c r="H29" s="576"/>
      <c r="I29" s="576"/>
      <c r="J29" s="576"/>
      <c r="K29" s="576"/>
      <c r="L29" s="300"/>
      <c r="M29" s="299"/>
    </row>
    <row r="30" spans="1:13" ht="14.1" customHeight="1" x14ac:dyDescent="0.25">
      <c r="A30" s="302" t="s">
        <v>529</v>
      </c>
      <c r="B30" s="465">
        <v>450</v>
      </c>
      <c r="C30" s="465">
        <v>3</v>
      </c>
      <c r="D30" s="301">
        <v>1</v>
      </c>
      <c r="E30" s="301">
        <v>15</v>
      </c>
      <c r="F30" s="574">
        <v>50</v>
      </c>
      <c r="G30" s="574"/>
      <c r="H30" s="465">
        <f t="shared" ref="H30:H35" si="3">SUM(E30:G30)</f>
        <v>65</v>
      </c>
      <c r="I30" s="465">
        <v>42</v>
      </c>
      <c r="J30" s="465">
        <f t="shared" ref="J30:J35" si="4">(H30-I30)</f>
        <v>23</v>
      </c>
      <c r="K30" s="465">
        <v>200</v>
      </c>
      <c r="L30" s="300">
        <v>80</v>
      </c>
      <c r="M30" s="299">
        <f t="shared" ref="M30:M35" si="5" xml:space="preserve"> (K30*L30)</f>
        <v>16000</v>
      </c>
    </row>
    <row r="31" spans="1:13" ht="14.1" customHeight="1" x14ac:dyDescent="0.25">
      <c r="A31" s="302" t="s">
        <v>528</v>
      </c>
      <c r="B31" s="465">
        <v>230</v>
      </c>
      <c r="C31" s="465">
        <v>1</v>
      </c>
      <c r="D31" s="301">
        <v>1</v>
      </c>
      <c r="E31" s="301">
        <v>0</v>
      </c>
      <c r="F31" s="574">
        <v>62</v>
      </c>
      <c r="G31" s="574"/>
      <c r="H31" s="465">
        <f t="shared" si="3"/>
        <v>62</v>
      </c>
      <c r="I31" s="465"/>
      <c r="J31" s="465">
        <f t="shared" si="4"/>
        <v>62</v>
      </c>
      <c r="K31" s="465">
        <v>30</v>
      </c>
      <c r="L31" s="300">
        <v>80</v>
      </c>
      <c r="M31" s="299">
        <f t="shared" si="5"/>
        <v>2400</v>
      </c>
    </row>
    <row r="32" spans="1:13" ht="14.1" customHeight="1" x14ac:dyDescent="0.25">
      <c r="A32" s="302" t="s">
        <v>527</v>
      </c>
      <c r="B32" s="465">
        <v>750</v>
      </c>
      <c r="C32" s="465">
        <v>5</v>
      </c>
      <c r="D32" s="301">
        <v>1</v>
      </c>
      <c r="E32" s="301">
        <v>265</v>
      </c>
      <c r="F32" s="574">
        <v>145</v>
      </c>
      <c r="G32" s="574"/>
      <c r="H32" s="465">
        <f t="shared" si="3"/>
        <v>410</v>
      </c>
      <c r="I32" s="465"/>
      <c r="J32" s="465">
        <f t="shared" si="4"/>
        <v>410</v>
      </c>
      <c r="K32" s="465">
        <v>200</v>
      </c>
      <c r="L32" s="300">
        <v>60</v>
      </c>
      <c r="M32" s="299">
        <f t="shared" si="5"/>
        <v>12000</v>
      </c>
    </row>
    <row r="33" spans="1:13" ht="14.1" customHeight="1" x14ac:dyDescent="0.25">
      <c r="A33" s="302" t="s">
        <v>526</v>
      </c>
      <c r="B33" s="465">
        <v>230</v>
      </c>
      <c r="C33" s="465">
        <v>1</v>
      </c>
      <c r="D33" s="301">
        <v>1</v>
      </c>
      <c r="E33" s="301">
        <v>52</v>
      </c>
      <c r="F33" s="574">
        <v>274</v>
      </c>
      <c r="G33" s="574"/>
      <c r="H33" s="465">
        <f t="shared" si="3"/>
        <v>326</v>
      </c>
      <c r="I33" s="465">
        <v>116</v>
      </c>
      <c r="J33" s="465">
        <f t="shared" si="4"/>
        <v>210</v>
      </c>
      <c r="K33" s="465">
        <v>100</v>
      </c>
      <c r="L33" s="300">
        <v>60</v>
      </c>
      <c r="M33" s="299">
        <f t="shared" si="5"/>
        <v>6000</v>
      </c>
    </row>
    <row r="34" spans="1:13" ht="14.1" customHeight="1" x14ac:dyDescent="0.25">
      <c r="A34" s="302" t="s">
        <v>525</v>
      </c>
      <c r="B34" s="465">
        <v>690</v>
      </c>
      <c r="C34" s="465">
        <v>3</v>
      </c>
      <c r="D34" s="301">
        <v>1</v>
      </c>
      <c r="E34" s="301">
        <v>50</v>
      </c>
      <c r="F34" s="574">
        <v>182</v>
      </c>
      <c r="G34" s="574"/>
      <c r="H34" s="465">
        <f t="shared" si="3"/>
        <v>232</v>
      </c>
      <c r="I34" s="465">
        <v>44</v>
      </c>
      <c r="J34" s="465">
        <f t="shared" si="4"/>
        <v>188</v>
      </c>
      <c r="K34" s="465">
        <v>100</v>
      </c>
      <c r="L34" s="300">
        <v>250</v>
      </c>
      <c r="M34" s="299">
        <f t="shared" si="5"/>
        <v>25000</v>
      </c>
    </row>
    <row r="35" spans="1:13" ht="14.1" customHeight="1" x14ac:dyDescent="0.25">
      <c r="A35" s="302" t="s">
        <v>524</v>
      </c>
      <c r="B35" s="465">
        <v>690</v>
      </c>
      <c r="C35" s="465">
        <v>3</v>
      </c>
      <c r="D35" s="301">
        <v>1</v>
      </c>
      <c r="E35" s="301">
        <v>96</v>
      </c>
      <c r="F35" s="574">
        <v>36</v>
      </c>
      <c r="G35" s="574"/>
      <c r="H35" s="465">
        <f t="shared" si="3"/>
        <v>132</v>
      </c>
      <c r="I35" s="465">
        <v>19</v>
      </c>
      <c r="J35" s="465">
        <f t="shared" si="4"/>
        <v>113</v>
      </c>
      <c r="K35" s="465">
        <v>40</v>
      </c>
      <c r="L35" s="300">
        <v>200</v>
      </c>
      <c r="M35" s="299">
        <f t="shared" si="5"/>
        <v>8000</v>
      </c>
    </row>
    <row r="36" spans="1:13" ht="14.1" customHeight="1" x14ac:dyDescent="0.25">
      <c r="A36" s="575" t="s">
        <v>523</v>
      </c>
      <c r="B36" s="576"/>
      <c r="C36" s="576"/>
      <c r="D36" s="576"/>
      <c r="E36" s="576"/>
      <c r="F36" s="576"/>
      <c r="G36" s="576"/>
      <c r="H36" s="576"/>
      <c r="I36" s="576"/>
      <c r="J36" s="576"/>
      <c r="K36" s="576"/>
      <c r="L36" s="300"/>
      <c r="M36" s="299"/>
    </row>
    <row r="37" spans="1:13" ht="14.1" customHeight="1" x14ac:dyDescent="0.25">
      <c r="A37" s="302" t="s">
        <v>522</v>
      </c>
      <c r="B37" s="465">
        <v>75</v>
      </c>
      <c r="C37" s="465">
        <v>1</v>
      </c>
      <c r="D37" s="301">
        <v>2</v>
      </c>
      <c r="E37" s="301">
        <v>49</v>
      </c>
      <c r="F37" s="574">
        <v>91</v>
      </c>
      <c r="G37" s="574"/>
      <c r="H37" s="465">
        <f>SUM(E37:G37)</f>
        <v>140</v>
      </c>
      <c r="I37" s="465">
        <v>11</v>
      </c>
      <c r="J37" s="465">
        <f>(H37-I37)</f>
        <v>129</v>
      </c>
      <c r="K37" s="465">
        <v>30</v>
      </c>
      <c r="L37" s="300">
        <v>800</v>
      </c>
      <c r="M37" s="299">
        <f xml:space="preserve"> (K37*L37)</f>
        <v>24000</v>
      </c>
    </row>
    <row r="38" spans="1:13" ht="14.1" customHeight="1" x14ac:dyDescent="0.25">
      <c r="A38" s="302" t="s">
        <v>521</v>
      </c>
      <c r="B38" s="465">
        <v>150</v>
      </c>
      <c r="C38" s="465">
        <v>1</v>
      </c>
      <c r="D38" s="301">
        <v>1</v>
      </c>
      <c r="E38" s="301">
        <v>0</v>
      </c>
      <c r="F38" s="574">
        <v>129</v>
      </c>
      <c r="G38" s="574"/>
      <c r="H38" s="465">
        <f>SUM(E38:G38)</f>
        <v>129</v>
      </c>
      <c r="I38" s="465"/>
      <c r="J38" s="465">
        <f>(H38-I38)</f>
        <v>129</v>
      </c>
      <c r="K38" s="465">
        <v>30</v>
      </c>
      <c r="L38" s="300">
        <v>500</v>
      </c>
      <c r="M38" s="299">
        <f xml:space="preserve"> (K38*L38)</f>
        <v>15000</v>
      </c>
    </row>
    <row r="39" spans="1:13" ht="14.1" customHeight="1" x14ac:dyDescent="0.25">
      <c r="A39" s="302" t="s">
        <v>520</v>
      </c>
      <c r="B39" s="465">
        <v>230</v>
      </c>
      <c r="C39" s="465">
        <v>1</v>
      </c>
      <c r="D39" s="301">
        <v>1</v>
      </c>
      <c r="E39" s="301">
        <v>74</v>
      </c>
      <c r="F39" s="574">
        <v>139</v>
      </c>
      <c r="G39" s="574"/>
      <c r="H39" s="465">
        <f>SUM(E39:G39)</f>
        <v>213</v>
      </c>
      <c r="I39" s="465"/>
      <c r="J39" s="465">
        <f>(H39-I39)</f>
        <v>213</v>
      </c>
      <c r="K39" s="465">
        <v>30</v>
      </c>
      <c r="L39" s="300">
        <v>800</v>
      </c>
      <c r="M39" s="299">
        <f xml:space="preserve"> (K39*L39)</f>
        <v>24000</v>
      </c>
    </row>
    <row r="40" spans="1:13" ht="14.1" customHeight="1" x14ac:dyDescent="0.25">
      <c r="A40" s="302" t="s">
        <v>519</v>
      </c>
      <c r="B40" s="465">
        <v>460</v>
      </c>
      <c r="C40" s="465">
        <v>2</v>
      </c>
      <c r="D40" s="301">
        <v>1</v>
      </c>
      <c r="E40" s="301">
        <v>505</v>
      </c>
      <c r="F40" s="574">
        <v>34</v>
      </c>
      <c r="G40" s="574"/>
      <c r="H40" s="465">
        <f>SUM(E40:G40)</f>
        <v>539</v>
      </c>
      <c r="I40" s="465"/>
      <c r="J40" s="465">
        <f>(H40-I40)</f>
        <v>539</v>
      </c>
      <c r="K40" s="465">
        <v>30</v>
      </c>
      <c r="L40" s="300">
        <v>500</v>
      </c>
      <c r="M40" s="299">
        <f xml:space="preserve"> (K40*L40)</f>
        <v>15000</v>
      </c>
    </row>
    <row r="41" spans="1:13" ht="14.1" customHeight="1" x14ac:dyDescent="0.25">
      <c r="A41" s="302" t="s">
        <v>518</v>
      </c>
      <c r="B41" s="465">
        <v>380</v>
      </c>
      <c r="C41" s="465">
        <v>1</v>
      </c>
      <c r="D41" s="301">
        <v>1</v>
      </c>
      <c r="E41" s="301">
        <v>82</v>
      </c>
      <c r="F41" s="574">
        <v>147</v>
      </c>
      <c r="G41" s="574"/>
      <c r="H41" s="465">
        <f>SUM(E41:G41)</f>
        <v>229</v>
      </c>
      <c r="I41" s="465">
        <v>3</v>
      </c>
      <c r="J41" s="465">
        <f>(H41-I41)</f>
        <v>226</v>
      </c>
      <c r="K41" s="465">
        <v>30</v>
      </c>
      <c r="L41" s="300">
        <v>150</v>
      </c>
      <c r="M41" s="299">
        <f xml:space="preserve"> (K41*L41)</f>
        <v>4500</v>
      </c>
    </row>
    <row r="42" spans="1:13" ht="14.1" customHeight="1" x14ac:dyDescent="0.25">
      <c r="A42" s="302"/>
      <c r="B42" s="465"/>
      <c r="C42" s="465"/>
      <c r="D42" s="301"/>
      <c r="E42" s="301"/>
      <c r="F42" s="465"/>
      <c r="G42" s="465"/>
      <c r="H42" s="465"/>
      <c r="I42" s="465"/>
      <c r="J42" s="465"/>
      <c r="K42" s="465"/>
      <c r="L42" s="300"/>
      <c r="M42" s="299"/>
    </row>
    <row r="43" spans="1:13" ht="14.1" customHeight="1" x14ac:dyDescent="0.25">
      <c r="A43" s="302"/>
      <c r="B43" s="465"/>
      <c r="C43" s="465"/>
      <c r="D43" s="301"/>
      <c r="E43" s="301"/>
      <c r="F43" s="465"/>
      <c r="G43" s="465"/>
      <c r="H43" s="465"/>
      <c r="I43" s="465"/>
      <c r="J43" s="465"/>
      <c r="K43" s="465"/>
      <c r="L43" s="300"/>
      <c r="M43" s="299"/>
    </row>
    <row r="44" spans="1:13" ht="14.1" customHeight="1" x14ac:dyDescent="0.25">
      <c r="A44" s="575" t="s">
        <v>517</v>
      </c>
      <c r="B44" s="576"/>
      <c r="C44" s="576"/>
      <c r="D44" s="576"/>
      <c r="E44" s="576"/>
      <c r="F44" s="576"/>
      <c r="G44" s="576"/>
      <c r="H44" s="576"/>
      <c r="I44" s="576"/>
      <c r="J44" s="576"/>
      <c r="K44" s="576"/>
      <c r="L44" s="300"/>
      <c r="M44" s="299"/>
    </row>
    <row r="45" spans="1:13" ht="14.1" customHeight="1" x14ac:dyDescent="0.25">
      <c r="A45" s="302" t="s">
        <v>516</v>
      </c>
      <c r="B45" s="465">
        <v>50</v>
      </c>
      <c r="C45" s="465">
        <v>1</v>
      </c>
      <c r="D45" s="301">
        <v>3</v>
      </c>
      <c r="E45" s="301">
        <v>58</v>
      </c>
      <c r="F45" s="574">
        <v>168</v>
      </c>
      <c r="G45" s="574"/>
      <c r="H45" s="465">
        <f t="shared" ref="H45:H51" si="6">SUM(E45:G45)</f>
        <v>226</v>
      </c>
      <c r="I45" s="465">
        <v>28</v>
      </c>
      <c r="J45" s="465">
        <f t="shared" ref="J45:J51" si="7">(H45-I45)</f>
        <v>198</v>
      </c>
      <c r="K45" s="465">
        <v>30</v>
      </c>
      <c r="L45" s="300">
        <v>3500</v>
      </c>
      <c r="M45" s="299">
        <f t="shared" ref="M45:M51" si="8" xml:space="preserve"> (K45*L45)</f>
        <v>105000</v>
      </c>
    </row>
    <row r="46" spans="1:13" ht="14.1" customHeight="1" x14ac:dyDescent="0.25">
      <c r="A46" s="302" t="s">
        <v>515</v>
      </c>
      <c r="B46" s="465">
        <v>77</v>
      </c>
      <c r="C46" s="465">
        <v>1</v>
      </c>
      <c r="D46" s="301">
        <v>3</v>
      </c>
      <c r="E46" s="301">
        <v>77</v>
      </c>
      <c r="F46" s="574">
        <v>203</v>
      </c>
      <c r="G46" s="574"/>
      <c r="H46" s="465">
        <f t="shared" si="6"/>
        <v>280</v>
      </c>
      <c r="I46" s="465"/>
      <c r="J46" s="465">
        <f t="shared" si="7"/>
        <v>280</v>
      </c>
      <c r="K46" s="465">
        <v>30</v>
      </c>
      <c r="L46" s="300">
        <v>3500</v>
      </c>
      <c r="M46" s="299">
        <f t="shared" si="8"/>
        <v>105000</v>
      </c>
    </row>
    <row r="47" spans="1:13" ht="14.1" customHeight="1" x14ac:dyDescent="0.25">
      <c r="A47" s="302" t="s">
        <v>514</v>
      </c>
      <c r="B47" s="465">
        <v>75</v>
      </c>
      <c r="C47" s="465">
        <v>1</v>
      </c>
      <c r="D47" s="301">
        <v>2</v>
      </c>
      <c r="E47" s="301">
        <v>51</v>
      </c>
      <c r="F47" s="574">
        <v>98</v>
      </c>
      <c r="G47" s="574"/>
      <c r="H47" s="465">
        <f t="shared" si="6"/>
        <v>149</v>
      </c>
      <c r="I47" s="465">
        <v>15</v>
      </c>
      <c r="J47" s="465">
        <f t="shared" si="7"/>
        <v>134</v>
      </c>
      <c r="K47" s="465">
        <v>30</v>
      </c>
      <c r="L47" s="300">
        <v>800</v>
      </c>
      <c r="M47" s="299">
        <f t="shared" si="8"/>
        <v>24000</v>
      </c>
    </row>
    <row r="48" spans="1:13" ht="14.1" customHeight="1" x14ac:dyDescent="0.25">
      <c r="A48" s="302" t="s">
        <v>513</v>
      </c>
      <c r="B48" s="465">
        <v>115</v>
      </c>
      <c r="C48" s="465">
        <v>1</v>
      </c>
      <c r="D48" s="301">
        <v>2</v>
      </c>
      <c r="E48" s="301">
        <v>82</v>
      </c>
      <c r="F48" s="574">
        <v>84</v>
      </c>
      <c r="G48" s="574"/>
      <c r="H48" s="465">
        <f t="shared" si="6"/>
        <v>166</v>
      </c>
      <c r="I48" s="465">
        <v>23</v>
      </c>
      <c r="J48" s="465">
        <f t="shared" si="7"/>
        <v>143</v>
      </c>
      <c r="K48" s="465">
        <v>40</v>
      </c>
      <c r="L48" s="300">
        <v>800</v>
      </c>
      <c r="M48" s="299">
        <f t="shared" si="8"/>
        <v>32000</v>
      </c>
    </row>
    <row r="49" spans="1:13" ht="14.1" customHeight="1" x14ac:dyDescent="0.25">
      <c r="A49" s="302" t="s">
        <v>512</v>
      </c>
      <c r="B49" s="465">
        <v>190</v>
      </c>
      <c r="C49" s="465">
        <v>1</v>
      </c>
      <c r="D49" s="301">
        <v>2</v>
      </c>
      <c r="E49" s="301">
        <v>14</v>
      </c>
      <c r="F49" s="574">
        <v>129</v>
      </c>
      <c r="G49" s="574"/>
      <c r="H49" s="465">
        <f t="shared" si="6"/>
        <v>143</v>
      </c>
      <c r="I49" s="465">
        <v>3</v>
      </c>
      <c r="J49" s="465">
        <f t="shared" si="7"/>
        <v>140</v>
      </c>
      <c r="K49" s="465">
        <v>40</v>
      </c>
      <c r="L49" s="300">
        <v>1200</v>
      </c>
      <c r="M49" s="299">
        <f t="shared" si="8"/>
        <v>48000</v>
      </c>
    </row>
    <row r="50" spans="1:13" ht="14.1" customHeight="1" x14ac:dyDescent="0.25">
      <c r="A50" s="302" t="s">
        <v>511</v>
      </c>
      <c r="B50" s="465">
        <v>380</v>
      </c>
      <c r="C50" s="465">
        <v>1</v>
      </c>
      <c r="D50" s="301">
        <v>1</v>
      </c>
      <c r="E50" s="301">
        <v>119</v>
      </c>
      <c r="F50" s="574">
        <v>157</v>
      </c>
      <c r="G50" s="574"/>
      <c r="H50" s="465">
        <f t="shared" si="6"/>
        <v>276</v>
      </c>
      <c r="I50" s="465">
        <v>40</v>
      </c>
      <c r="J50" s="465">
        <f t="shared" si="7"/>
        <v>236</v>
      </c>
      <c r="K50" s="465">
        <v>40</v>
      </c>
      <c r="L50" s="300">
        <v>250</v>
      </c>
      <c r="M50" s="299">
        <f t="shared" si="8"/>
        <v>10000</v>
      </c>
    </row>
    <row r="51" spans="1:13" ht="14.1" customHeight="1" x14ac:dyDescent="0.25">
      <c r="A51" s="302" t="s">
        <v>510</v>
      </c>
      <c r="B51" s="465">
        <v>190</v>
      </c>
      <c r="C51" s="465">
        <v>1</v>
      </c>
      <c r="D51" s="301">
        <v>2</v>
      </c>
      <c r="E51" s="301">
        <v>34</v>
      </c>
      <c r="F51" s="574">
        <v>57</v>
      </c>
      <c r="G51" s="574"/>
      <c r="H51" s="465">
        <f t="shared" si="6"/>
        <v>91</v>
      </c>
      <c r="I51" s="465">
        <v>2</v>
      </c>
      <c r="J51" s="465">
        <f t="shared" si="7"/>
        <v>89</v>
      </c>
      <c r="K51" s="465"/>
      <c r="L51" s="300"/>
      <c r="M51" s="299">
        <f t="shared" si="8"/>
        <v>0</v>
      </c>
    </row>
    <row r="52" spans="1:13" ht="14.1" customHeight="1" x14ac:dyDescent="0.25">
      <c r="A52" s="575" t="s">
        <v>509</v>
      </c>
      <c r="B52" s="576"/>
      <c r="C52" s="576"/>
      <c r="D52" s="576"/>
      <c r="E52" s="576"/>
      <c r="F52" s="576"/>
      <c r="G52" s="576"/>
      <c r="H52" s="576"/>
      <c r="I52" s="576"/>
      <c r="J52" s="576"/>
      <c r="K52" s="576"/>
      <c r="L52" s="300"/>
      <c r="M52" s="299"/>
    </row>
    <row r="53" spans="1:13" ht="14.1" customHeight="1" x14ac:dyDescent="0.25">
      <c r="A53" s="302" t="s">
        <v>508</v>
      </c>
      <c r="B53" s="465">
        <v>76</v>
      </c>
      <c r="C53" s="465">
        <v>1</v>
      </c>
      <c r="D53" s="301">
        <v>5</v>
      </c>
      <c r="E53" s="301">
        <v>22</v>
      </c>
      <c r="F53" s="574">
        <v>447</v>
      </c>
      <c r="G53" s="574"/>
      <c r="H53" s="465">
        <f t="shared" ref="H53:H63" si="9">SUM(E53:G53)</f>
        <v>469</v>
      </c>
      <c r="I53" s="465">
        <v>8</v>
      </c>
      <c r="J53" s="465">
        <f t="shared" ref="J53:J63" si="10">(H53-I53)</f>
        <v>461</v>
      </c>
      <c r="K53" s="465">
        <v>200</v>
      </c>
      <c r="L53" s="300">
        <v>900</v>
      </c>
      <c r="M53" s="299">
        <v>180000</v>
      </c>
    </row>
    <row r="54" spans="1:13" ht="14.1" customHeight="1" x14ac:dyDescent="0.25">
      <c r="A54" s="303" t="s">
        <v>507</v>
      </c>
      <c r="B54" s="465">
        <v>76</v>
      </c>
      <c r="C54" s="465">
        <v>1</v>
      </c>
      <c r="D54" s="301">
        <v>5</v>
      </c>
      <c r="E54" s="301">
        <v>0</v>
      </c>
      <c r="F54" s="574">
        <v>83</v>
      </c>
      <c r="G54" s="574"/>
      <c r="H54" s="465">
        <f t="shared" si="9"/>
        <v>83</v>
      </c>
      <c r="I54" s="465">
        <v>3</v>
      </c>
      <c r="J54" s="465">
        <f t="shared" si="10"/>
        <v>80</v>
      </c>
      <c r="K54" s="465">
        <v>86</v>
      </c>
      <c r="L54" s="300">
        <v>600</v>
      </c>
      <c r="M54" s="299">
        <f t="shared" ref="M54:M63" si="11" xml:space="preserve"> (K54*L54)</f>
        <v>51600</v>
      </c>
    </row>
    <row r="55" spans="1:13" ht="14.1" customHeight="1" x14ac:dyDescent="0.25">
      <c r="A55" s="302" t="s">
        <v>506</v>
      </c>
      <c r="B55" s="465">
        <v>76</v>
      </c>
      <c r="C55" s="465">
        <v>1</v>
      </c>
      <c r="D55" s="301">
        <v>5</v>
      </c>
      <c r="E55" s="301">
        <v>7</v>
      </c>
      <c r="F55" s="574">
        <v>443</v>
      </c>
      <c r="G55" s="574"/>
      <c r="H55" s="465">
        <f t="shared" si="9"/>
        <v>450</v>
      </c>
      <c r="I55" s="465">
        <v>10</v>
      </c>
      <c r="J55" s="465">
        <f t="shared" si="10"/>
        <v>440</v>
      </c>
      <c r="K55" s="465">
        <v>200</v>
      </c>
      <c r="L55" s="300">
        <v>350</v>
      </c>
      <c r="M55" s="299">
        <f t="shared" si="11"/>
        <v>70000</v>
      </c>
    </row>
    <row r="56" spans="1:13" ht="14.1" customHeight="1" x14ac:dyDescent="0.25">
      <c r="A56" s="302" t="s">
        <v>505</v>
      </c>
      <c r="B56" s="465">
        <v>76</v>
      </c>
      <c r="C56" s="465">
        <v>1</v>
      </c>
      <c r="D56" s="301">
        <v>5</v>
      </c>
      <c r="E56" s="301">
        <v>0</v>
      </c>
      <c r="F56" s="574">
        <v>318</v>
      </c>
      <c r="G56" s="574"/>
      <c r="H56" s="465">
        <f t="shared" si="9"/>
        <v>318</v>
      </c>
      <c r="I56" s="465">
        <v>8</v>
      </c>
      <c r="J56" s="465">
        <f t="shared" si="10"/>
        <v>310</v>
      </c>
      <c r="K56" s="465">
        <v>200</v>
      </c>
      <c r="L56" s="300">
        <v>500</v>
      </c>
      <c r="M56" s="299">
        <f t="shared" si="11"/>
        <v>100000</v>
      </c>
    </row>
    <row r="57" spans="1:13" ht="14.1" customHeight="1" x14ac:dyDescent="0.25">
      <c r="A57" s="302" t="s">
        <v>504</v>
      </c>
      <c r="B57" s="465">
        <v>95</v>
      </c>
      <c r="C57" s="465">
        <v>1</v>
      </c>
      <c r="D57" s="301">
        <v>4</v>
      </c>
      <c r="E57" s="301">
        <v>0</v>
      </c>
      <c r="F57" s="574">
        <v>374</v>
      </c>
      <c r="G57" s="574"/>
      <c r="H57" s="465">
        <f t="shared" si="9"/>
        <v>374</v>
      </c>
      <c r="I57" s="465">
        <v>59</v>
      </c>
      <c r="J57" s="465">
        <f t="shared" si="10"/>
        <v>315</v>
      </c>
      <c r="K57" s="465">
        <v>200</v>
      </c>
      <c r="L57" s="300">
        <v>900</v>
      </c>
      <c r="M57" s="299">
        <f t="shared" si="11"/>
        <v>180000</v>
      </c>
    </row>
    <row r="58" spans="1:13" ht="14.1" customHeight="1" x14ac:dyDescent="0.25">
      <c r="A58" s="302" t="s">
        <v>503</v>
      </c>
      <c r="B58" s="465">
        <v>1520</v>
      </c>
      <c r="C58" s="465">
        <v>4</v>
      </c>
      <c r="D58" s="301">
        <v>1</v>
      </c>
      <c r="E58" s="301">
        <v>1061</v>
      </c>
      <c r="F58" s="574">
        <v>969</v>
      </c>
      <c r="G58" s="574"/>
      <c r="H58" s="465">
        <f t="shared" si="9"/>
        <v>2030</v>
      </c>
      <c r="I58" s="465">
        <v>149</v>
      </c>
      <c r="J58" s="465">
        <f t="shared" si="10"/>
        <v>1881</v>
      </c>
      <c r="K58" s="465">
        <v>650</v>
      </c>
      <c r="L58" s="300">
        <v>300</v>
      </c>
      <c r="M58" s="299">
        <f t="shared" si="11"/>
        <v>195000</v>
      </c>
    </row>
    <row r="59" spans="1:13" ht="14.1" customHeight="1" x14ac:dyDescent="0.25">
      <c r="A59" s="302" t="s">
        <v>502</v>
      </c>
      <c r="B59" s="465">
        <v>1140</v>
      </c>
      <c r="C59" s="465">
        <v>3</v>
      </c>
      <c r="D59" s="301">
        <v>1</v>
      </c>
      <c r="E59" s="301">
        <v>1264</v>
      </c>
      <c r="F59" s="574">
        <v>1042</v>
      </c>
      <c r="G59" s="574"/>
      <c r="H59" s="465">
        <f t="shared" si="9"/>
        <v>2306</v>
      </c>
      <c r="I59" s="465">
        <v>135</v>
      </c>
      <c r="J59" s="465">
        <f t="shared" si="10"/>
        <v>2171</v>
      </c>
      <c r="K59" s="465">
        <v>650</v>
      </c>
      <c r="L59" s="300">
        <v>150</v>
      </c>
      <c r="M59" s="299">
        <f t="shared" si="11"/>
        <v>97500</v>
      </c>
    </row>
    <row r="60" spans="1:13" ht="14.1" customHeight="1" x14ac:dyDescent="0.25">
      <c r="A60" s="302" t="s">
        <v>501</v>
      </c>
      <c r="B60" s="465">
        <v>1520</v>
      </c>
      <c r="C60" s="465">
        <v>4</v>
      </c>
      <c r="D60" s="301">
        <v>1</v>
      </c>
      <c r="E60" s="301">
        <v>2037</v>
      </c>
      <c r="F60" s="574">
        <v>1014</v>
      </c>
      <c r="G60" s="574"/>
      <c r="H60" s="465">
        <f t="shared" si="9"/>
        <v>3051</v>
      </c>
      <c r="I60" s="465">
        <v>138</v>
      </c>
      <c r="J60" s="465">
        <f t="shared" si="10"/>
        <v>2913</v>
      </c>
      <c r="K60" s="465">
        <v>650</v>
      </c>
      <c r="L60" s="300">
        <v>80</v>
      </c>
      <c r="M60" s="299">
        <f t="shared" si="11"/>
        <v>52000</v>
      </c>
    </row>
    <row r="61" spans="1:13" ht="14.1" customHeight="1" x14ac:dyDescent="0.25">
      <c r="A61" s="302" t="s">
        <v>500</v>
      </c>
      <c r="B61" s="465">
        <v>760</v>
      </c>
      <c r="C61" s="465">
        <v>2</v>
      </c>
      <c r="D61" s="301">
        <v>3</v>
      </c>
      <c r="E61" s="301">
        <v>582</v>
      </c>
      <c r="F61" s="574">
        <v>159</v>
      </c>
      <c r="G61" s="574"/>
      <c r="H61" s="465">
        <f t="shared" si="9"/>
        <v>741</v>
      </c>
      <c r="I61" s="465">
        <v>42</v>
      </c>
      <c r="J61" s="465">
        <f t="shared" si="10"/>
        <v>699</v>
      </c>
      <c r="K61" s="465">
        <v>200</v>
      </c>
      <c r="L61" s="300">
        <v>80</v>
      </c>
      <c r="M61" s="299">
        <f t="shared" si="11"/>
        <v>16000</v>
      </c>
    </row>
    <row r="62" spans="1:13" ht="14.1" customHeight="1" x14ac:dyDescent="0.25">
      <c r="A62" s="302" t="s">
        <v>499</v>
      </c>
      <c r="B62" s="465">
        <v>1140</v>
      </c>
      <c r="C62" s="465">
        <v>3</v>
      </c>
      <c r="D62" s="301">
        <v>1</v>
      </c>
      <c r="E62" s="301">
        <v>5</v>
      </c>
      <c r="F62" s="574">
        <v>288</v>
      </c>
      <c r="G62" s="574"/>
      <c r="H62" s="465">
        <f t="shared" si="9"/>
        <v>293</v>
      </c>
      <c r="I62" s="465">
        <v>51</v>
      </c>
      <c r="J62" s="465">
        <f t="shared" si="10"/>
        <v>242</v>
      </c>
      <c r="K62" s="465">
        <v>800</v>
      </c>
      <c r="L62" s="300">
        <v>120</v>
      </c>
      <c r="M62" s="299">
        <f t="shared" si="11"/>
        <v>96000</v>
      </c>
    </row>
    <row r="63" spans="1:13" ht="14.1" customHeight="1" thickBot="1" x14ac:dyDescent="0.3">
      <c r="A63" s="298" t="s">
        <v>498</v>
      </c>
      <c r="B63" s="466">
        <v>380</v>
      </c>
      <c r="C63" s="466">
        <v>1</v>
      </c>
      <c r="D63" s="297">
        <v>1</v>
      </c>
      <c r="E63" s="297">
        <v>525</v>
      </c>
      <c r="F63" s="578">
        <v>520</v>
      </c>
      <c r="G63" s="578"/>
      <c r="H63" s="466">
        <f t="shared" si="9"/>
        <v>1045</v>
      </c>
      <c r="I63" s="466">
        <v>66</v>
      </c>
      <c r="J63" s="466">
        <f t="shared" si="10"/>
        <v>979</v>
      </c>
      <c r="K63" s="466">
        <v>400</v>
      </c>
      <c r="L63" s="296">
        <v>200</v>
      </c>
      <c r="M63" s="295">
        <f t="shared" si="11"/>
        <v>80000</v>
      </c>
    </row>
    <row r="64" spans="1:13" ht="13.8" thickBot="1" x14ac:dyDescent="0.3">
      <c r="A64" s="294" t="s">
        <v>82</v>
      </c>
      <c r="B64" s="475" t="s">
        <v>61</v>
      </c>
      <c r="C64" s="475" t="s">
        <v>61</v>
      </c>
      <c r="D64" s="475" t="s">
        <v>61</v>
      </c>
      <c r="E64" s="475"/>
      <c r="F64" s="475"/>
      <c r="G64" s="475"/>
      <c r="H64" s="475"/>
      <c r="I64" s="475"/>
      <c r="J64" s="475"/>
      <c r="K64" s="475" t="s">
        <v>61</v>
      </c>
      <c r="L64" s="476" t="s">
        <v>61</v>
      </c>
      <c r="M64" s="427">
        <f>SUM(M10:M63)</f>
        <v>2000000</v>
      </c>
    </row>
    <row r="65" spans="1:13" ht="15.6" x14ac:dyDescent="0.25">
      <c r="A65" s="579"/>
      <c r="B65" s="579"/>
      <c r="C65" s="579"/>
      <c r="D65" s="579"/>
      <c r="E65" s="579"/>
      <c r="F65" s="579"/>
      <c r="G65" s="579"/>
      <c r="H65" s="579"/>
      <c r="I65" s="579"/>
      <c r="J65" s="579"/>
      <c r="K65" s="579"/>
      <c r="L65" s="293"/>
      <c r="M65" s="293"/>
    </row>
    <row r="66" spans="1:13" ht="16.2" customHeight="1" x14ac:dyDescent="0.25">
      <c r="A66" s="293"/>
      <c r="B66" s="293"/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293"/>
    </row>
    <row r="67" spans="1:13" ht="16.2" customHeight="1" x14ac:dyDescent="0.3">
      <c r="A67" s="577"/>
      <c r="B67" s="577"/>
      <c r="C67" s="577"/>
      <c r="D67" s="577"/>
      <c r="E67" s="577"/>
      <c r="F67" s="577"/>
      <c r="G67" s="577"/>
      <c r="H67" s="577"/>
      <c r="I67" s="577"/>
      <c r="J67" s="577"/>
      <c r="K67" s="577"/>
    </row>
  </sheetData>
  <mergeCells count="69">
    <mergeCell ref="F56:G56"/>
    <mergeCell ref="F57:G57"/>
    <mergeCell ref="F16:G16"/>
    <mergeCell ref="H7:H8"/>
    <mergeCell ref="F11:G11"/>
    <mergeCell ref="F12:G12"/>
    <mergeCell ref="F13:G13"/>
    <mergeCell ref="F15:G15"/>
    <mergeCell ref="A9:K9"/>
    <mergeCell ref="K7:K8"/>
    <mergeCell ref="F10:G10"/>
    <mergeCell ref="F18:G18"/>
    <mergeCell ref="A14:K14"/>
    <mergeCell ref="F49:G49"/>
    <mergeCell ref="F39:G39"/>
    <mergeCell ref="F19:G19"/>
    <mergeCell ref="L1:M1"/>
    <mergeCell ref="A2:M2"/>
    <mergeCell ref="L7:L8"/>
    <mergeCell ref="M7:M8"/>
    <mergeCell ref="A24:K24"/>
    <mergeCell ref="F17:G17"/>
    <mergeCell ref="F20:G20"/>
    <mergeCell ref="J7:J8"/>
    <mergeCell ref="I7:I8"/>
    <mergeCell ref="A7:A8"/>
    <mergeCell ref="C7:C8"/>
    <mergeCell ref="D7:D8"/>
    <mergeCell ref="E7:G7"/>
    <mergeCell ref="F8:G8"/>
    <mergeCell ref="B7:B8"/>
    <mergeCell ref="F21:G21"/>
    <mergeCell ref="F47:G47"/>
    <mergeCell ref="A36:K36"/>
    <mergeCell ref="F46:G46"/>
    <mergeCell ref="F58:G58"/>
    <mergeCell ref="F55:G55"/>
    <mergeCell ref="F51:G51"/>
    <mergeCell ref="F53:G53"/>
    <mergeCell ref="F54:G54"/>
    <mergeCell ref="F40:G40"/>
    <mergeCell ref="F41:G41"/>
    <mergeCell ref="F50:G50"/>
    <mergeCell ref="F48:G48"/>
    <mergeCell ref="A44:K44"/>
    <mergeCell ref="A52:K52"/>
    <mergeCell ref="F37:G37"/>
    <mergeCell ref="F38:G38"/>
    <mergeCell ref="A67:K67"/>
    <mergeCell ref="F63:G63"/>
    <mergeCell ref="F59:G59"/>
    <mergeCell ref="F60:G60"/>
    <mergeCell ref="F61:G61"/>
    <mergeCell ref="F62:G62"/>
    <mergeCell ref="A65:K65"/>
    <mergeCell ref="F45:G45"/>
    <mergeCell ref="F30:G30"/>
    <mergeCell ref="F31:G31"/>
    <mergeCell ref="F32:G32"/>
    <mergeCell ref="F33:G33"/>
    <mergeCell ref="F34:G34"/>
    <mergeCell ref="F35:G35"/>
    <mergeCell ref="F22:G22"/>
    <mergeCell ref="A29:K29"/>
    <mergeCell ref="F23:G23"/>
    <mergeCell ref="F25:G25"/>
    <mergeCell ref="F26:G26"/>
    <mergeCell ref="F27:G27"/>
    <mergeCell ref="F28:G28"/>
  </mergeCells>
  <pageMargins left="0.74803149606299213" right="0.74803149606299213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1"/>
  <sheetViews>
    <sheetView topLeftCell="A145" workbookViewId="0">
      <selection activeCell="H84" sqref="H84"/>
    </sheetView>
  </sheetViews>
  <sheetFormatPr defaultRowHeight="14.4" x14ac:dyDescent="0.3"/>
  <cols>
    <col min="1" max="1" width="66.33203125" style="10" customWidth="1"/>
    <col min="2" max="2" width="11.109375" style="10" hidden="1" customWidth="1"/>
    <col min="3" max="3" width="14.33203125" style="10" hidden="1" customWidth="1"/>
    <col min="4" max="4" width="18.88671875" style="10" customWidth="1"/>
    <col min="5" max="5" width="14.33203125" style="10" customWidth="1"/>
    <col min="6" max="6" width="23" style="10" customWidth="1"/>
    <col min="7" max="7" width="16.5546875" style="10" customWidth="1"/>
    <col min="8" max="8" width="12.88671875" style="10" customWidth="1"/>
    <col min="9" max="9" width="13.109375" style="10" customWidth="1"/>
    <col min="10" max="16384" width="8.88671875" style="10"/>
  </cols>
  <sheetData>
    <row r="1" spans="1:7" ht="15.6" x14ac:dyDescent="0.3">
      <c r="A1" s="571" t="s">
        <v>497</v>
      </c>
      <c r="B1" s="571"/>
      <c r="C1" s="571"/>
      <c r="D1" s="571"/>
      <c r="E1" s="571"/>
      <c r="F1" s="571"/>
      <c r="G1" s="5"/>
    </row>
    <row r="2" spans="1:7" ht="15.6" x14ac:dyDescent="0.3">
      <c r="A2" s="580" t="s">
        <v>601</v>
      </c>
      <c r="B2" s="580"/>
      <c r="C2" s="580"/>
      <c r="D2" s="580"/>
      <c r="E2" s="580"/>
      <c r="F2" s="580"/>
      <c r="G2" s="5"/>
    </row>
    <row r="3" spans="1:7" ht="18" x14ac:dyDescent="0.3">
      <c r="A3" s="573"/>
      <c r="B3" s="573"/>
      <c r="C3" s="573"/>
      <c r="D3" s="573"/>
      <c r="E3" s="573"/>
      <c r="F3" s="573"/>
      <c r="G3" s="5"/>
    </row>
    <row r="4" spans="1:7" ht="16.2" thickBot="1" x14ac:dyDescent="0.35">
      <c r="A4" s="580"/>
      <c r="B4" s="580"/>
      <c r="C4" s="580"/>
      <c r="D4" s="580"/>
      <c r="E4" s="580"/>
      <c r="F4" s="580"/>
      <c r="G4" s="5"/>
    </row>
    <row r="5" spans="1:7" ht="16.2" thickBot="1" x14ac:dyDescent="0.35">
      <c r="A5" s="121" t="s">
        <v>207</v>
      </c>
      <c r="B5" s="122" t="s">
        <v>103</v>
      </c>
      <c r="C5" s="122" t="s">
        <v>206</v>
      </c>
      <c r="D5" s="123" t="s">
        <v>104</v>
      </c>
      <c r="E5" s="124" t="s">
        <v>103</v>
      </c>
      <c r="F5" s="125" t="s">
        <v>206</v>
      </c>
      <c r="G5" s="5"/>
    </row>
    <row r="6" spans="1:7" ht="16.2" thickBot="1" x14ac:dyDescent="0.35">
      <c r="A6" s="21">
        <v>1</v>
      </c>
      <c r="B6" s="126">
        <v>2</v>
      </c>
      <c r="C6" s="127">
        <v>3</v>
      </c>
      <c r="D6" s="128">
        <v>2</v>
      </c>
      <c r="E6" s="128">
        <v>3</v>
      </c>
      <c r="F6" s="129">
        <v>4</v>
      </c>
      <c r="G6" s="5"/>
    </row>
    <row r="7" spans="1:7" ht="16.2" thickBot="1" x14ac:dyDescent="0.35">
      <c r="A7" s="594" t="s">
        <v>232</v>
      </c>
      <c r="B7" s="595"/>
      <c r="C7" s="595"/>
      <c r="D7" s="595"/>
      <c r="E7" s="595"/>
      <c r="F7" s="596"/>
      <c r="G7" s="5"/>
    </row>
    <row r="8" spans="1:7" x14ac:dyDescent="0.3">
      <c r="A8" s="131" t="s">
        <v>496</v>
      </c>
      <c r="B8" s="132">
        <v>3</v>
      </c>
      <c r="C8" s="133">
        <f>700</f>
        <v>700</v>
      </c>
      <c r="D8" s="316">
        <f t="shared" ref="D8:D38" si="0">F8/E8</f>
        <v>424.8</v>
      </c>
      <c r="E8" s="132">
        <v>10</v>
      </c>
      <c r="F8" s="317">
        <v>4248</v>
      </c>
      <c r="G8" s="276"/>
    </row>
    <row r="9" spans="1:7" x14ac:dyDescent="0.3">
      <c r="A9" s="131" t="s">
        <v>495</v>
      </c>
      <c r="B9" s="132">
        <v>474</v>
      </c>
      <c r="C9" s="133">
        <f>10052.9</f>
        <v>10052.9</v>
      </c>
      <c r="D9" s="316">
        <f t="shared" si="0"/>
        <v>33.333333333333336</v>
      </c>
      <c r="E9" s="132">
        <v>300</v>
      </c>
      <c r="F9" s="317">
        <v>10000</v>
      </c>
      <c r="G9" s="276"/>
    </row>
    <row r="10" spans="1:7" x14ac:dyDescent="0.3">
      <c r="A10" s="131" t="s">
        <v>494</v>
      </c>
      <c r="B10" s="132">
        <v>8</v>
      </c>
      <c r="C10" s="133">
        <f>7264</f>
        <v>7264</v>
      </c>
      <c r="D10" s="316">
        <f t="shared" si="0"/>
        <v>1178.9475</v>
      </c>
      <c r="E10" s="132">
        <v>8</v>
      </c>
      <c r="F10" s="317">
        <v>9431.58</v>
      </c>
      <c r="G10" s="276"/>
    </row>
    <row r="11" spans="1:7" x14ac:dyDescent="0.3">
      <c r="A11" s="131" t="s">
        <v>493</v>
      </c>
      <c r="B11" s="132">
        <v>10</v>
      </c>
      <c r="C11" s="133">
        <f>1117</f>
        <v>1117</v>
      </c>
      <c r="D11" s="316">
        <f t="shared" si="0"/>
        <v>286.66666666666669</v>
      </c>
      <c r="E11" s="132">
        <v>15</v>
      </c>
      <c r="F11" s="317">
        <v>4300</v>
      </c>
      <c r="G11" s="276"/>
    </row>
    <row r="12" spans="1:7" x14ac:dyDescent="0.3">
      <c r="A12" s="131" t="s">
        <v>492</v>
      </c>
      <c r="B12" s="132">
        <v>5</v>
      </c>
      <c r="C12" s="133">
        <f>1495</f>
        <v>1495</v>
      </c>
      <c r="D12" s="316">
        <f t="shared" si="0"/>
        <v>500</v>
      </c>
      <c r="E12" s="132">
        <v>5</v>
      </c>
      <c r="F12" s="317">
        <v>2500</v>
      </c>
      <c r="G12" s="276"/>
    </row>
    <row r="13" spans="1:7" x14ac:dyDescent="0.3">
      <c r="A13" s="131" t="s">
        <v>491</v>
      </c>
      <c r="B13" s="132">
        <v>210</v>
      </c>
      <c r="C13" s="133">
        <f>3490.2</f>
        <v>3490.2</v>
      </c>
      <c r="D13" s="316">
        <f t="shared" si="0"/>
        <v>33.333333333333336</v>
      </c>
      <c r="E13" s="132">
        <v>300</v>
      </c>
      <c r="F13" s="317">
        <v>10000</v>
      </c>
      <c r="G13" s="276"/>
    </row>
    <row r="14" spans="1:7" x14ac:dyDescent="0.3">
      <c r="A14" s="131" t="s">
        <v>490</v>
      </c>
      <c r="B14" s="132">
        <v>4</v>
      </c>
      <c r="C14" s="133">
        <f>1267</f>
        <v>1267</v>
      </c>
      <c r="D14" s="316">
        <f t="shared" si="0"/>
        <v>625</v>
      </c>
      <c r="E14" s="132">
        <v>4</v>
      </c>
      <c r="F14" s="317">
        <v>2500</v>
      </c>
      <c r="G14" s="276"/>
    </row>
    <row r="15" spans="1:7" x14ac:dyDescent="0.3">
      <c r="A15" s="131" t="s">
        <v>489</v>
      </c>
      <c r="B15" s="132">
        <v>19</v>
      </c>
      <c r="C15" s="133">
        <f>890</f>
        <v>890</v>
      </c>
      <c r="D15" s="316">
        <f t="shared" si="0"/>
        <v>60.819999999999993</v>
      </c>
      <c r="E15" s="132">
        <v>19</v>
      </c>
      <c r="F15" s="317">
        <v>1155.58</v>
      </c>
      <c r="G15" s="276"/>
    </row>
    <row r="16" spans="1:7" x14ac:dyDescent="0.3">
      <c r="A16" s="131" t="s">
        <v>488</v>
      </c>
      <c r="B16" s="132">
        <v>2</v>
      </c>
      <c r="C16" s="133">
        <f>4892.8</f>
        <v>4892.8</v>
      </c>
      <c r="D16" s="316">
        <f t="shared" si="0"/>
        <v>3176.4050000000002</v>
      </c>
      <c r="E16" s="132">
        <v>2</v>
      </c>
      <c r="F16" s="317">
        <v>6352.81</v>
      </c>
      <c r="G16" s="276"/>
    </row>
    <row r="17" spans="1:7" x14ac:dyDescent="0.3">
      <c r="A17" s="131" t="s">
        <v>487</v>
      </c>
      <c r="B17" s="132">
        <v>1</v>
      </c>
      <c r="C17" s="133">
        <f>1000</f>
        <v>1000</v>
      </c>
      <c r="D17" s="316">
        <f t="shared" si="0"/>
        <v>1298.4000000000001</v>
      </c>
      <c r="E17" s="132">
        <v>1</v>
      </c>
      <c r="F17" s="317">
        <v>1298.4000000000001</v>
      </c>
      <c r="G17" s="276"/>
    </row>
    <row r="18" spans="1:7" x14ac:dyDescent="0.3">
      <c r="A18" s="131" t="s">
        <v>486</v>
      </c>
      <c r="B18" s="132">
        <v>295</v>
      </c>
      <c r="C18" s="133">
        <f>62894.6</f>
        <v>62894.6</v>
      </c>
      <c r="D18" s="316">
        <v>315</v>
      </c>
      <c r="E18" s="132">
        <v>400</v>
      </c>
      <c r="F18" s="317">
        <v>126000</v>
      </c>
      <c r="G18" s="276"/>
    </row>
    <row r="19" spans="1:7" x14ac:dyDescent="0.3">
      <c r="A19" s="131" t="s">
        <v>485</v>
      </c>
      <c r="B19" s="132">
        <v>4</v>
      </c>
      <c r="C19" s="133">
        <f>1081.16</f>
        <v>1081.1600000000001</v>
      </c>
      <c r="D19" s="316">
        <f t="shared" si="0"/>
        <v>333.33333333333331</v>
      </c>
      <c r="E19" s="132">
        <v>6</v>
      </c>
      <c r="F19" s="317">
        <v>2000</v>
      </c>
      <c r="G19" s="276"/>
    </row>
    <row r="20" spans="1:7" x14ac:dyDescent="0.3">
      <c r="A20" s="131" t="s">
        <v>484</v>
      </c>
      <c r="B20" s="132">
        <v>23</v>
      </c>
      <c r="C20" s="133">
        <f>2510.78</f>
        <v>2510.7800000000002</v>
      </c>
      <c r="D20" s="316">
        <f t="shared" si="0"/>
        <v>141.7391304347826</v>
      </c>
      <c r="E20" s="132">
        <v>23</v>
      </c>
      <c r="F20" s="317">
        <v>3260</v>
      </c>
      <c r="G20" s="276"/>
    </row>
    <row r="21" spans="1:7" x14ac:dyDescent="0.3">
      <c r="A21" s="131" t="s">
        <v>483</v>
      </c>
      <c r="B21" s="132">
        <v>19</v>
      </c>
      <c r="C21" s="133">
        <f>1959.12</f>
        <v>1959.12</v>
      </c>
      <c r="D21" s="316">
        <f t="shared" si="0"/>
        <v>157.89473684210526</v>
      </c>
      <c r="E21" s="132">
        <v>19</v>
      </c>
      <c r="F21" s="317">
        <v>3000</v>
      </c>
      <c r="G21" s="276"/>
    </row>
    <row r="22" spans="1:7" x14ac:dyDescent="0.3">
      <c r="A22" s="131" t="s">
        <v>482</v>
      </c>
      <c r="B22" s="132">
        <v>9</v>
      </c>
      <c r="C22" s="133">
        <f>1260</f>
        <v>1260</v>
      </c>
      <c r="D22" s="316">
        <f t="shared" si="0"/>
        <v>181.77555555555557</v>
      </c>
      <c r="E22" s="132">
        <v>9</v>
      </c>
      <c r="F22" s="317">
        <v>1635.98</v>
      </c>
      <c r="G22" s="276"/>
    </row>
    <row r="23" spans="1:7" x14ac:dyDescent="0.3">
      <c r="A23" s="131" t="s">
        <v>481</v>
      </c>
      <c r="B23" s="132">
        <v>5</v>
      </c>
      <c r="C23" s="133">
        <f>1345</f>
        <v>1345</v>
      </c>
      <c r="D23" s="316">
        <f t="shared" si="0"/>
        <v>150.4</v>
      </c>
      <c r="E23" s="132">
        <v>5</v>
      </c>
      <c r="F23" s="317">
        <v>752</v>
      </c>
      <c r="G23" s="276"/>
    </row>
    <row r="24" spans="1:7" x14ac:dyDescent="0.3">
      <c r="A24" s="131" t="s">
        <v>480</v>
      </c>
      <c r="B24" s="132">
        <v>6</v>
      </c>
      <c r="C24" s="133">
        <f>4020</f>
        <v>4020</v>
      </c>
      <c r="D24" s="316">
        <f t="shared" si="0"/>
        <v>285.71428571428572</v>
      </c>
      <c r="E24" s="132">
        <v>35</v>
      </c>
      <c r="F24" s="317">
        <v>10000</v>
      </c>
      <c r="G24" s="276"/>
    </row>
    <row r="25" spans="1:7" x14ac:dyDescent="0.3">
      <c r="A25" s="131" t="s">
        <v>479</v>
      </c>
      <c r="B25" s="132">
        <v>16</v>
      </c>
      <c r="C25" s="133">
        <f>11552</f>
        <v>11552</v>
      </c>
      <c r="D25" s="316">
        <f t="shared" si="0"/>
        <v>750</v>
      </c>
      <c r="E25" s="132">
        <v>20</v>
      </c>
      <c r="F25" s="317">
        <v>15000</v>
      </c>
      <c r="G25" s="276"/>
    </row>
    <row r="26" spans="1:7" x14ac:dyDescent="0.3">
      <c r="A26" s="131" t="s">
        <v>478</v>
      </c>
      <c r="B26" s="132">
        <v>10</v>
      </c>
      <c r="C26" s="133">
        <f>1200</f>
        <v>1200</v>
      </c>
      <c r="D26" s="316">
        <f t="shared" si="0"/>
        <v>200</v>
      </c>
      <c r="E26" s="132">
        <v>10</v>
      </c>
      <c r="F26" s="317">
        <v>2000</v>
      </c>
      <c r="G26" s="276"/>
    </row>
    <row r="27" spans="1:7" x14ac:dyDescent="0.3">
      <c r="A27" s="131" t="s">
        <v>477</v>
      </c>
      <c r="B27" s="132">
        <v>19</v>
      </c>
      <c r="C27" s="133">
        <f>1899.91</f>
        <v>1899.91</v>
      </c>
      <c r="D27" s="316">
        <f t="shared" si="0"/>
        <v>150</v>
      </c>
      <c r="E27" s="132">
        <v>20</v>
      </c>
      <c r="F27" s="317">
        <v>3000</v>
      </c>
      <c r="G27" s="276"/>
    </row>
    <row r="28" spans="1:7" x14ac:dyDescent="0.3">
      <c r="A28" s="131" t="s">
        <v>476</v>
      </c>
      <c r="B28" s="132">
        <v>112.5</v>
      </c>
      <c r="C28" s="133">
        <f>9013.5</f>
        <v>9013.5</v>
      </c>
      <c r="D28" s="316">
        <f t="shared" si="0"/>
        <v>100</v>
      </c>
      <c r="E28" s="132">
        <v>300</v>
      </c>
      <c r="F28" s="317">
        <v>30000</v>
      </c>
      <c r="G28" s="276"/>
    </row>
    <row r="29" spans="1:7" x14ac:dyDescent="0.3">
      <c r="A29" s="131" t="s">
        <v>475</v>
      </c>
      <c r="B29" s="132">
        <v>7</v>
      </c>
      <c r="C29" s="133">
        <f>5894.7</f>
        <v>5894.7</v>
      </c>
      <c r="D29" s="316">
        <f t="shared" si="0"/>
        <v>900</v>
      </c>
      <c r="E29" s="132">
        <v>5</v>
      </c>
      <c r="F29" s="317">
        <v>4500</v>
      </c>
      <c r="G29" s="276"/>
    </row>
    <row r="30" spans="1:7" x14ac:dyDescent="0.3">
      <c r="A30" s="131" t="s">
        <v>474</v>
      </c>
      <c r="B30" s="132">
        <v>15</v>
      </c>
      <c r="C30" s="133">
        <f>1425</f>
        <v>1425</v>
      </c>
      <c r="D30" s="316">
        <f t="shared" si="0"/>
        <v>266.66666666666669</v>
      </c>
      <c r="E30" s="132">
        <v>15</v>
      </c>
      <c r="F30" s="317">
        <v>4000</v>
      </c>
      <c r="G30" s="276"/>
    </row>
    <row r="31" spans="1:7" x14ac:dyDescent="0.3">
      <c r="A31" s="131" t="s">
        <v>473</v>
      </c>
      <c r="B31" s="132">
        <v>12</v>
      </c>
      <c r="C31" s="133">
        <f>4140</f>
        <v>4140</v>
      </c>
      <c r="D31" s="316">
        <f t="shared" si="0"/>
        <v>233.33333333333334</v>
      </c>
      <c r="E31" s="132">
        <v>30</v>
      </c>
      <c r="F31" s="317">
        <v>7000</v>
      </c>
      <c r="G31" s="276"/>
    </row>
    <row r="32" spans="1:7" x14ac:dyDescent="0.3">
      <c r="A32" s="131" t="s">
        <v>472</v>
      </c>
      <c r="B32" s="132">
        <v>9</v>
      </c>
      <c r="C32" s="133">
        <f>1354.14</f>
        <v>1354.14</v>
      </c>
      <c r="D32" s="316">
        <f t="shared" si="0"/>
        <v>195.35777777777778</v>
      </c>
      <c r="E32" s="132">
        <v>9</v>
      </c>
      <c r="F32" s="317">
        <v>1758.22</v>
      </c>
      <c r="G32" s="276"/>
    </row>
    <row r="33" spans="1:7" x14ac:dyDescent="0.3">
      <c r="A33" s="131" t="s">
        <v>471</v>
      </c>
      <c r="B33" s="132">
        <v>3</v>
      </c>
      <c r="C33" s="133">
        <f>3455</f>
        <v>3455</v>
      </c>
      <c r="D33" s="316">
        <f t="shared" si="0"/>
        <v>1495.3233333333335</v>
      </c>
      <c r="E33" s="132">
        <v>3</v>
      </c>
      <c r="F33" s="317">
        <v>4485.97</v>
      </c>
      <c r="G33" s="276"/>
    </row>
    <row r="34" spans="1:7" x14ac:dyDescent="0.3">
      <c r="A34" s="131" t="s">
        <v>470</v>
      </c>
      <c r="B34" s="134">
        <v>4</v>
      </c>
      <c r="C34" s="133">
        <f>9000</f>
        <v>9000</v>
      </c>
      <c r="D34" s="316">
        <f t="shared" si="0"/>
        <v>2921.4</v>
      </c>
      <c r="E34" s="134">
        <v>4</v>
      </c>
      <c r="F34" s="317">
        <v>11685.6</v>
      </c>
      <c r="G34" s="276"/>
    </row>
    <row r="35" spans="1:7" x14ac:dyDescent="0.3">
      <c r="A35" s="131" t="s">
        <v>469</v>
      </c>
      <c r="B35" s="132">
        <v>16</v>
      </c>
      <c r="C35" s="133">
        <f>4108</f>
        <v>4108</v>
      </c>
      <c r="D35" s="316">
        <f t="shared" si="0"/>
        <v>333.364375</v>
      </c>
      <c r="E35" s="132">
        <v>16</v>
      </c>
      <c r="F35" s="317">
        <v>5333.83</v>
      </c>
      <c r="G35" s="276"/>
    </row>
    <row r="36" spans="1:7" x14ac:dyDescent="0.3">
      <c r="A36" s="131" t="s">
        <v>468</v>
      </c>
      <c r="B36" s="132">
        <v>49</v>
      </c>
      <c r="C36" s="133">
        <f>4887.9</f>
        <v>4887.8999999999996</v>
      </c>
      <c r="D36" s="316">
        <f t="shared" si="0"/>
        <v>129.52000000000001</v>
      </c>
      <c r="E36" s="132">
        <v>100</v>
      </c>
      <c r="F36" s="317">
        <v>12952</v>
      </c>
      <c r="G36" s="276"/>
    </row>
    <row r="37" spans="1:7" x14ac:dyDescent="0.3">
      <c r="A37" s="131" t="s">
        <v>467</v>
      </c>
      <c r="B37" s="132">
        <v>63</v>
      </c>
      <c r="C37" s="133">
        <f>5723.7</f>
        <v>5723.7</v>
      </c>
      <c r="D37" s="316">
        <f t="shared" si="0"/>
        <v>96</v>
      </c>
      <c r="E37" s="132">
        <v>50</v>
      </c>
      <c r="F37" s="317">
        <v>4800</v>
      </c>
      <c r="G37" s="276"/>
    </row>
    <row r="38" spans="1:7" x14ac:dyDescent="0.3">
      <c r="A38" s="131" t="s">
        <v>466</v>
      </c>
      <c r="B38" s="132">
        <v>39</v>
      </c>
      <c r="C38" s="133">
        <f>11067</f>
        <v>11067</v>
      </c>
      <c r="D38" s="316">
        <f t="shared" si="0"/>
        <v>409.95</v>
      </c>
      <c r="E38" s="132">
        <v>40</v>
      </c>
      <c r="F38" s="317">
        <v>16398</v>
      </c>
      <c r="G38" s="276"/>
    </row>
    <row r="39" spans="1:7" x14ac:dyDescent="0.3">
      <c r="A39" s="131" t="s">
        <v>465</v>
      </c>
      <c r="B39" s="135">
        <v>30</v>
      </c>
      <c r="C39" s="133">
        <v>2698.5</v>
      </c>
      <c r="D39" s="316">
        <f t="shared" ref="D39:D71" si="1">F39/E39</f>
        <v>116.791</v>
      </c>
      <c r="E39" s="135">
        <v>30</v>
      </c>
      <c r="F39" s="317">
        <v>3503.73</v>
      </c>
      <c r="G39" s="276"/>
    </row>
    <row r="40" spans="1:7" x14ac:dyDescent="0.3">
      <c r="A40" s="131" t="s">
        <v>464</v>
      </c>
      <c r="B40" s="135">
        <v>10</v>
      </c>
      <c r="C40" s="133">
        <f>929.4</f>
        <v>929.4</v>
      </c>
      <c r="D40" s="316">
        <f t="shared" si="1"/>
        <v>120.673</v>
      </c>
      <c r="E40" s="135">
        <v>10</v>
      </c>
      <c r="F40" s="317">
        <v>1206.73</v>
      </c>
      <c r="G40" s="276"/>
    </row>
    <row r="41" spans="1:7" x14ac:dyDescent="0.3">
      <c r="A41" s="131" t="s">
        <v>463</v>
      </c>
      <c r="B41" s="132">
        <v>33</v>
      </c>
      <c r="C41" s="133">
        <f>17995</f>
        <v>17995</v>
      </c>
      <c r="D41" s="316">
        <f t="shared" si="1"/>
        <v>500</v>
      </c>
      <c r="E41" s="132">
        <v>25</v>
      </c>
      <c r="F41" s="317">
        <v>12500</v>
      </c>
      <c r="G41" s="276"/>
    </row>
    <row r="42" spans="1:7" x14ac:dyDescent="0.3">
      <c r="A42" s="131" t="s">
        <v>462</v>
      </c>
      <c r="B42" s="132">
        <v>7</v>
      </c>
      <c r="C42" s="133">
        <f>1101</f>
        <v>1101</v>
      </c>
      <c r="D42" s="316">
        <f t="shared" si="1"/>
        <v>204.22</v>
      </c>
      <c r="E42" s="132">
        <v>7</v>
      </c>
      <c r="F42" s="317">
        <v>1429.54</v>
      </c>
      <c r="G42" s="276"/>
    </row>
    <row r="43" spans="1:7" x14ac:dyDescent="0.3">
      <c r="A43" s="131" t="s">
        <v>461</v>
      </c>
      <c r="B43" s="132">
        <v>25</v>
      </c>
      <c r="C43" s="133">
        <f>4915</f>
        <v>4915</v>
      </c>
      <c r="D43" s="316">
        <f t="shared" si="1"/>
        <v>211.65</v>
      </c>
      <c r="E43" s="132">
        <v>20</v>
      </c>
      <c r="F43" s="317">
        <v>4233</v>
      </c>
      <c r="G43" s="276"/>
    </row>
    <row r="44" spans="1:7" x14ac:dyDescent="0.3">
      <c r="A44" s="131" t="s">
        <v>460</v>
      </c>
      <c r="B44" s="132">
        <v>6</v>
      </c>
      <c r="C44" s="133">
        <f>774</f>
        <v>774</v>
      </c>
      <c r="D44" s="316">
        <f t="shared" si="1"/>
        <v>167.49333333333334</v>
      </c>
      <c r="E44" s="132">
        <v>6</v>
      </c>
      <c r="F44" s="317">
        <v>1004.96</v>
      </c>
      <c r="G44" s="276"/>
    </row>
    <row r="45" spans="1:7" x14ac:dyDescent="0.3">
      <c r="A45" s="131" t="s">
        <v>643</v>
      </c>
      <c r="B45" s="132"/>
      <c r="C45" s="133"/>
      <c r="D45" s="316">
        <v>15000</v>
      </c>
      <c r="E45" s="132">
        <v>4</v>
      </c>
      <c r="F45" s="317">
        <f>E45*D45</f>
        <v>60000</v>
      </c>
      <c r="G45" s="276"/>
    </row>
    <row r="46" spans="1:7" x14ac:dyDescent="0.3">
      <c r="A46" s="131" t="s">
        <v>459</v>
      </c>
      <c r="B46" s="132">
        <v>10</v>
      </c>
      <c r="C46" s="133">
        <f>850</f>
        <v>850</v>
      </c>
      <c r="D46" s="316">
        <f t="shared" si="1"/>
        <v>110.364</v>
      </c>
      <c r="E46" s="132">
        <v>10</v>
      </c>
      <c r="F46" s="317">
        <v>1103.6400000000001</v>
      </c>
      <c r="G46" s="276"/>
    </row>
    <row r="47" spans="1:7" x14ac:dyDescent="0.3">
      <c r="A47" s="131" t="s">
        <v>458</v>
      </c>
      <c r="B47" s="132">
        <v>29</v>
      </c>
      <c r="C47" s="133">
        <f>2600</f>
        <v>2600</v>
      </c>
      <c r="D47" s="316">
        <f t="shared" si="1"/>
        <v>112.52800000000001</v>
      </c>
      <c r="E47" s="132">
        <v>30</v>
      </c>
      <c r="F47" s="317">
        <v>3375.84</v>
      </c>
      <c r="G47" s="276"/>
    </row>
    <row r="48" spans="1:7" x14ac:dyDescent="0.3">
      <c r="A48" s="131" t="s">
        <v>457</v>
      </c>
      <c r="B48" s="132">
        <v>16</v>
      </c>
      <c r="C48" s="133">
        <f>800</f>
        <v>800</v>
      </c>
      <c r="D48" s="316">
        <f t="shared" si="1"/>
        <v>64.92</v>
      </c>
      <c r="E48" s="132">
        <v>16</v>
      </c>
      <c r="F48" s="317">
        <v>1038.72</v>
      </c>
      <c r="G48" s="276"/>
    </row>
    <row r="49" spans="1:7" x14ac:dyDescent="0.3">
      <c r="A49" s="131" t="s">
        <v>456</v>
      </c>
      <c r="B49" s="132">
        <v>19</v>
      </c>
      <c r="C49" s="133">
        <f>57970</f>
        <v>57970</v>
      </c>
      <c r="D49" s="316">
        <f t="shared" si="1"/>
        <v>7000</v>
      </c>
      <c r="E49" s="132">
        <v>5</v>
      </c>
      <c r="F49" s="317">
        <v>35000</v>
      </c>
      <c r="G49" s="276"/>
    </row>
    <row r="50" spans="1:7" x14ac:dyDescent="0.3">
      <c r="A50" s="131" t="s">
        <v>455</v>
      </c>
      <c r="B50" s="132">
        <v>11</v>
      </c>
      <c r="C50" s="133">
        <f>944.46</f>
        <v>944.46</v>
      </c>
      <c r="D50" s="316">
        <f t="shared" si="1"/>
        <v>111.48090909090909</v>
      </c>
      <c r="E50" s="132">
        <v>11</v>
      </c>
      <c r="F50" s="317">
        <v>1226.29</v>
      </c>
      <c r="G50" s="276"/>
    </row>
    <row r="51" spans="1:7" x14ac:dyDescent="0.3">
      <c r="A51" s="131" t="s">
        <v>454</v>
      </c>
      <c r="B51" s="132">
        <v>2</v>
      </c>
      <c r="C51" s="133">
        <f>6388.4</f>
        <v>6388.4</v>
      </c>
      <c r="D51" s="316">
        <f t="shared" si="1"/>
        <v>4147.3500000000004</v>
      </c>
      <c r="E51" s="132">
        <v>2</v>
      </c>
      <c r="F51" s="317">
        <v>8294.7000000000007</v>
      </c>
      <c r="G51" s="276"/>
    </row>
    <row r="52" spans="1:7" x14ac:dyDescent="0.3">
      <c r="A52" s="131" t="s">
        <v>453</v>
      </c>
      <c r="B52" s="132">
        <v>5</v>
      </c>
      <c r="C52" s="133">
        <f>16570.02</f>
        <v>16570.02</v>
      </c>
      <c r="D52" s="316">
        <f t="shared" si="1"/>
        <v>4302.902</v>
      </c>
      <c r="E52" s="132">
        <v>5</v>
      </c>
      <c r="F52" s="317">
        <v>21514.51</v>
      </c>
      <c r="G52" s="276"/>
    </row>
    <row r="53" spans="1:7" x14ac:dyDescent="0.3">
      <c r="A53" s="131" t="s">
        <v>452</v>
      </c>
      <c r="B53" s="132">
        <v>1</v>
      </c>
      <c r="C53" s="133">
        <f>1341</f>
        <v>1341</v>
      </c>
      <c r="D53" s="316">
        <f t="shared" si="1"/>
        <v>1741.15</v>
      </c>
      <c r="E53" s="132">
        <v>1</v>
      </c>
      <c r="F53" s="317">
        <v>1741.15</v>
      </c>
      <c r="G53" s="276"/>
    </row>
    <row r="54" spans="1:7" x14ac:dyDescent="0.3">
      <c r="A54" s="131" t="s">
        <v>451</v>
      </c>
      <c r="B54" s="132">
        <v>3</v>
      </c>
      <c r="C54" s="133">
        <f>885</f>
        <v>885</v>
      </c>
      <c r="D54" s="316">
        <f t="shared" si="1"/>
        <v>383.02666666666664</v>
      </c>
      <c r="E54" s="132">
        <v>3</v>
      </c>
      <c r="F54" s="317">
        <v>1149.08</v>
      </c>
      <c r="G54" s="276"/>
    </row>
    <row r="55" spans="1:7" x14ac:dyDescent="0.3">
      <c r="A55" s="131" t="s">
        <v>450</v>
      </c>
      <c r="B55" s="132">
        <v>8</v>
      </c>
      <c r="C55" s="133">
        <v>1413</v>
      </c>
      <c r="D55" s="316">
        <f t="shared" si="1"/>
        <v>229.33</v>
      </c>
      <c r="E55" s="132">
        <v>8</v>
      </c>
      <c r="F55" s="317">
        <v>1834.64</v>
      </c>
      <c r="G55" s="276"/>
    </row>
    <row r="56" spans="1:7" x14ac:dyDescent="0.3">
      <c r="A56" s="131" t="s">
        <v>449</v>
      </c>
      <c r="B56" s="132">
        <v>8</v>
      </c>
      <c r="C56" s="133">
        <f>776</f>
        <v>776</v>
      </c>
      <c r="D56" s="316">
        <f t="shared" si="1"/>
        <v>125.94499999999999</v>
      </c>
      <c r="E56" s="132">
        <v>8</v>
      </c>
      <c r="F56" s="317">
        <v>1007.56</v>
      </c>
      <c r="G56" s="276"/>
    </row>
    <row r="57" spans="1:7" x14ac:dyDescent="0.3">
      <c r="A57" s="131" t="s">
        <v>448</v>
      </c>
      <c r="B57" s="132">
        <v>4.5999999999999996</v>
      </c>
      <c r="C57" s="133">
        <f>1769.74</f>
        <v>1769.74</v>
      </c>
      <c r="D57" s="316">
        <f t="shared" si="1"/>
        <v>499.52826086956526</v>
      </c>
      <c r="E57" s="132">
        <v>4.5999999999999996</v>
      </c>
      <c r="F57" s="317">
        <v>2297.83</v>
      </c>
      <c r="G57" s="276"/>
    </row>
    <row r="58" spans="1:7" x14ac:dyDescent="0.3">
      <c r="A58" s="131" t="s">
        <v>447</v>
      </c>
      <c r="B58" s="132">
        <v>14</v>
      </c>
      <c r="C58" s="133">
        <f>14000</f>
        <v>14000</v>
      </c>
      <c r="D58" s="316">
        <f t="shared" si="1"/>
        <v>1298.3999999999999</v>
      </c>
      <c r="E58" s="132">
        <v>14</v>
      </c>
      <c r="F58" s="317">
        <v>18177.599999999999</v>
      </c>
      <c r="G58" s="276"/>
    </row>
    <row r="59" spans="1:7" x14ac:dyDescent="0.3">
      <c r="A59" s="131" t="s">
        <v>446</v>
      </c>
      <c r="B59" s="132">
        <v>80</v>
      </c>
      <c r="C59" s="133">
        <f>2919.3</f>
        <v>2919.3</v>
      </c>
      <c r="D59" s="316">
        <f t="shared" si="1"/>
        <v>47.380250000000004</v>
      </c>
      <c r="E59" s="132">
        <v>80</v>
      </c>
      <c r="F59" s="317">
        <v>3790.42</v>
      </c>
      <c r="G59" s="276"/>
    </row>
    <row r="60" spans="1:7" x14ac:dyDescent="0.3">
      <c r="A60" s="131" t="s">
        <v>445</v>
      </c>
      <c r="B60" s="132">
        <v>11</v>
      </c>
      <c r="C60" s="133">
        <f>4740.12</f>
        <v>4740.12</v>
      </c>
      <c r="D60" s="316">
        <f t="shared" si="1"/>
        <v>559.50636363636363</v>
      </c>
      <c r="E60" s="132">
        <v>11</v>
      </c>
      <c r="F60" s="317">
        <v>6154.57</v>
      </c>
      <c r="G60" s="276"/>
    </row>
    <row r="61" spans="1:7" x14ac:dyDescent="0.3">
      <c r="A61" s="131" t="s">
        <v>444</v>
      </c>
      <c r="B61" s="132">
        <v>16</v>
      </c>
      <c r="C61" s="133">
        <f>7200</f>
        <v>7200</v>
      </c>
      <c r="D61" s="316">
        <f t="shared" si="1"/>
        <v>584.28</v>
      </c>
      <c r="E61" s="132">
        <v>16</v>
      </c>
      <c r="F61" s="317">
        <v>9348.48</v>
      </c>
      <c r="G61" s="276"/>
    </row>
    <row r="62" spans="1:7" x14ac:dyDescent="0.3">
      <c r="A62" s="131" t="s">
        <v>443</v>
      </c>
      <c r="B62" s="132"/>
      <c r="C62" s="133"/>
      <c r="D62" s="316">
        <f t="shared" si="1"/>
        <v>4934.6608333333334</v>
      </c>
      <c r="E62" s="132">
        <v>12</v>
      </c>
      <c r="F62" s="317">
        <v>59215.93</v>
      </c>
      <c r="G62" s="276"/>
    </row>
    <row r="63" spans="1:7" x14ac:dyDescent="0.3">
      <c r="A63" s="131" t="s">
        <v>442</v>
      </c>
      <c r="B63" s="132">
        <v>4</v>
      </c>
      <c r="C63" s="133">
        <f>1445</f>
        <v>1445</v>
      </c>
      <c r="D63" s="316">
        <f t="shared" si="1"/>
        <v>469.04750000000001</v>
      </c>
      <c r="E63" s="132">
        <v>4</v>
      </c>
      <c r="F63" s="317">
        <v>1876.19</v>
      </c>
      <c r="G63" s="276"/>
    </row>
    <row r="64" spans="1:7" x14ac:dyDescent="0.3">
      <c r="A64" s="131" t="s">
        <v>441</v>
      </c>
      <c r="B64" s="132">
        <v>1</v>
      </c>
      <c r="C64" s="133">
        <f>828</f>
        <v>828</v>
      </c>
      <c r="D64" s="316">
        <f t="shared" si="1"/>
        <v>1075.08</v>
      </c>
      <c r="E64" s="132">
        <v>1</v>
      </c>
      <c r="F64" s="317">
        <v>1075.08</v>
      </c>
      <c r="G64" s="276"/>
    </row>
    <row r="65" spans="1:7" x14ac:dyDescent="0.3">
      <c r="A65" s="131" t="s">
        <v>440</v>
      </c>
      <c r="B65" s="132">
        <v>4</v>
      </c>
      <c r="C65" s="133">
        <f>2015</f>
        <v>2015</v>
      </c>
      <c r="D65" s="316">
        <f t="shared" si="1"/>
        <v>900</v>
      </c>
      <c r="E65" s="132">
        <v>20</v>
      </c>
      <c r="F65" s="317">
        <v>18000</v>
      </c>
      <c r="G65" s="276"/>
    </row>
    <row r="66" spans="1:7" x14ac:dyDescent="0.3">
      <c r="A66" s="131" t="s">
        <v>439</v>
      </c>
      <c r="B66" s="132">
        <v>5</v>
      </c>
      <c r="C66" s="133">
        <f>1290</f>
        <v>1290</v>
      </c>
      <c r="D66" s="316">
        <f t="shared" si="1"/>
        <v>500</v>
      </c>
      <c r="E66" s="132">
        <v>10</v>
      </c>
      <c r="F66" s="317">
        <v>5000</v>
      </c>
      <c r="G66" s="276"/>
    </row>
    <row r="67" spans="1:7" x14ac:dyDescent="0.3">
      <c r="A67" s="131" t="s">
        <v>438</v>
      </c>
      <c r="B67" s="132">
        <v>42</v>
      </c>
      <c r="C67" s="133">
        <f>2339.2</f>
        <v>2339.1999999999998</v>
      </c>
      <c r="D67" s="316">
        <f t="shared" si="1"/>
        <v>72.314761904761895</v>
      </c>
      <c r="E67" s="132">
        <v>42</v>
      </c>
      <c r="F67" s="317">
        <v>3037.22</v>
      </c>
      <c r="G67" s="276"/>
    </row>
    <row r="68" spans="1:7" x14ac:dyDescent="0.3">
      <c r="A68" s="131" t="s">
        <v>437</v>
      </c>
      <c r="B68" s="132">
        <v>5</v>
      </c>
      <c r="C68" s="133">
        <f>864.75</f>
        <v>864.75</v>
      </c>
      <c r="D68" s="316">
        <f t="shared" si="1"/>
        <v>224.55799999999999</v>
      </c>
      <c r="E68" s="132">
        <v>5</v>
      </c>
      <c r="F68" s="317">
        <v>1122.79</v>
      </c>
      <c r="G68" s="276"/>
    </row>
    <row r="69" spans="1:7" x14ac:dyDescent="0.3">
      <c r="A69" s="131" t="s">
        <v>436</v>
      </c>
      <c r="B69" s="132">
        <v>3</v>
      </c>
      <c r="C69" s="133">
        <f>11969.98</f>
        <v>11969.98</v>
      </c>
      <c r="D69" s="316">
        <f t="shared" si="1"/>
        <v>3508.2640000000001</v>
      </c>
      <c r="E69" s="132">
        <v>5</v>
      </c>
      <c r="F69" s="317">
        <v>17541.32</v>
      </c>
      <c r="G69" s="276"/>
    </row>
    <row r="70" spans="1:7" x14ac:dyDescent="0.3">
      <c r="A70" s="131" t="s">
        <v>435</v>
      </c>
      <c r="B70" s="132">
        <v>2</v>
      </c>
      <c r="C70" s="133">
        <f>2040</f>
        <v>2040</v>
      </c>
      <c r="D70" s="316">
        <f t="shared" si="1"/>
        <v>1324.37</v>
      </c>
      <c r="E70" s="132">
        <v>2</v>
      </c>
      <c r="F70" s="317">
        <v>2648.74</v>
      </c>
      <c r="G70" s="276"/>
    </row>
    <row r="71" spans="1:7" x14ac:dyDescent="0.3">
      <c r="A71" s="131" t="s">
        <v>434</v>
      </c>
      <c r="B71" s="132">
        <v>24</v>
      </c>
      <c r="C71" s="133">
        <f>1176</f>
        <v>1176</v>
      </c>
      <c r="D71" s="316">
        <f t="shared" si="1"/>
        <v>152.69200000000001</v>
      </c>
      <c r="E71" s="132">
        <v>10</v>
      </c>
      <c r="F71" s="317">
        <v>1526.92</v>
      </c>
      <c r="G71" s="276"/>
    </row>
    <row r="72" spans="1:7" x14ac:dyDescent="0.3">
      <c r="A72" s="131" t="s">
        <v>433</v>
      </c>
      <c r="B72" s="132">
        <v>1</v>
      </c>
      <c r="C72" s="133">
        <f>2399</f>
        <v>2399</v>
      </c>
      <c r="D72" s="316">
        <f t="shared" ref="D72:D103" si="2">F72/E72</f>
        <v>3114.86</v>
      </c>
      <c r="E72" s="132">
        <v>1</v>
      </c>
      <c r="F72" s="317">
        <v>3114.86</v>
      </c>
      <c r="G72" s="276"/>
    </row>
    <row r="73" spans="1:7" x14ac:dyDescent="0.3">
      <c r="A73" s="131" t="s">
        <v>432</v>
      </c>
      <c r="B73" s="132">
        <v>2</v>
      </c>
      <c r="C73" s="133">
        <f>8650</f>
        <v>8650</v>
      </c>
      <c r="D73" s="316">
        <f t="shared" si="2"/>
        <v>5615.58</v>
      </c>
      <c r="E73" s="132">
        <v>2</v>
      </c>
      <c r="F73" s="317">
        <v>11231.16</v>
      </c>
      <c r="G73" s="276"/>
    </row>
    <row r="74" spans="1:7" x14ac:dyDescent="0.3">
      <c r="A74" s="131" t="s">
        <v>431</v>
      </c>
      <c r="B74" s="132">
        <v>500</v>
      </c>
      <c r="C74" s="133">
        <f>28500</f>
        <v>28500</v>
      </c>
      <c r="D74" s="316">
        <f t="shared" si="2"/>
        <v>74.008800000000008</v>
      </c>
      <c r="E74" s="132">
        <v>500</v>
      </c>
      <c r="F74" s="317">
        <v>37004.400000000001</v>
      </c>
      <c r="G74" s="276"/>
    </row>
    <row r="75" spans="1:7" x14ac:dyDescent="0.3">
      <c r="A75" s="131" t="s">
        <v>430</v>
      </c>
      <c r="B75" s="132">
        <v>18</v>
      </c>
      <c r="C75" s="133">
        <f>3180.6</f>
        <v>3180.6</v>
      </c>
      <c r="D75" s="316">
        <f t="shared" si="2"/>
        <v>229.42722222222221</v>
      </c>
      <c r="E75" s="132">
        <v>18</v>
      </c>
      <c r="F75" s="317">
        <v>4129.6899999999996</v>
      </c>
      <c r="G75" s="276"/>
    </row>
    <row r="76" spans="1:7" x14ac:dyDescent="0.3">
      <c r="A76" s="131" t="s">
        <v>429</v>
      </c>
      <c r="B76" s="132">
        <v>1</v>
      </c>
      <c r="C76" s="133">
        <f>1533.4</f>
        <v>1533.4</v>
      </c>
      <c r="D76" s="316">
        <f t="shared" si="2"/>
        <v>1990.97</v>
      </c>
      <c r="E76" s="132">
        <v>1</v>
      </c>
      <c r="F76" s="317">
        <v>1990.97</v>
      </c>
      <c r="G76" s="276"/>
    </row>
    <row r="77" spans="1:7" x14ac:dyDescent="0.3">
      <c r="A77" s="131" t="s">
        <v>428</v>
      </c>
      <c r="B77" s="132">
        <v>75</v>
      </c>
      <c r="C77" s="133">
        <f>4500</f>
        <v>4500</v>
      </c>
      <c r="D77" s="316">
        <f t="shared" si="2"/>
        <v>77.903999999999996</v>
      </c>
      <c r="E77" s="132">
        <v>75</v>
      </c>
      <c r="F77" s="317">
        <v>5842.8</v>
      </c>
      <c r="G77" s="276"/>
    </row>
    <row r="78" spans="1:7" x14ac:dyDescent="0.3">
      <c r="A78" s="131" t="s">
        <v>427</v>
      </c>
      <c r="B78" s="132">
        <v>220</v>
      </c>
      <c r="C78" s="133">
        <f>14160</f>
        <v>14160</v>
      </c>
      <c r="D78" s="316">
        <f t="shared" si="2"/>
        <v>83.57</v>
      </c>
      <c r="E78" s="132">
        <v>500</v>
      </c>
      <c r="F78" s="317">
        <v>41785</v>
      </c>
      <c r="G78" s="276"/>
    </row>
    <row r="79" spans="1:7" x14ac:dyDescent="0.3">
      <c r="A79" s="131" t="s">
        <v>426</v>
      </c>
      <c r="B79" s="132">
        <v>472</v>
      </c>
      <c r="C79" s="133">
        <f>7324</f>
        <v>7324</v>
      </c>
      <c r="D79" s="316">
        <f t="shared" si="2"/>
        <v>30</v>
      </c>
      <c r="E79" s="132">
        <v>400</v>
      </c>
      <c r="F79" s="317">
        <v>12000</v>
      </c>
      <c r="G79" s="276"/>
    </row>
    <row r="80" spans="1:7" x14ac:dyDescent="0.3">
      <c r="A80" s="131" t="s">
        <v>425</v>
      </c>
      <c r="B80" s="132">
        <v>124</v>
      </c>
      <c r="C80" s="133">
        <f>28973.2</f>
        <v>28973.200000000001</v>
      </c>
      <c r="D80" s="316">
        <f t="shared" si="2"/>
        <v>100</v>
      </c>
      <c r="E80" s="132">
        <v>300</v>
      </c>
      <c r="F80" s="317">
        <v>30000</v>
      </c>
      <c r="G80" s="276"/>
    </row>
    <row r="81" spans="1:7" x14ac:dyDescent="0.3">
      <c r="A81" s="131" t="s">
        <v>424</v>
      </c>
      <c r="B81" s="132">
        <v>1</v>
      </c>
      <c r="C81" s="133">
        <f>1465.2</f>
        <v>1465.2</v>
      </c>
      <c r="D81" s="316">
        <f t="shared" si="2"/>
        <v>1902.42</v>
      </c>
      <c r="E81" s="132">
        <v>1</v>
      </c>
      <c r="F81" s="317">
        <v>1902.42</v>
      </c>
      <c r="G81" s="276"/>
    </row>
    <row r="82" spans="1:7" x14ac:dyDescent="0.3">
      <c r="A82" s="131" t="s">
        <v>423</v>
      </c>
      <c r="B82" s="132">
        <v>3</v>
      </c>
      <c r="C82" s="133">
        <f>1050</f>
        <v>1050</v>
      </c>
      <c r="D82" s="316">
        <f t="shared" si="2"/>
        <v>454.40666666666669</v>
      </c>
      <c r="E82" s="132">
        <v>3</v>
      </c>
      <c r="F82" s="317">
        <v>1363.22</v>
      </c>
      <c r="G82" s="276"/>
    </row>
    <row r="83" spans="1:7" x14ac:dyDescent="0.3">
      <c r="A83" s="131" t="s">
        <v>422</v>
      </c>
      <c r="B83" s="132" t="s">
        <v>421</v>
      </c>
      <c r="C83" s="133">
        <f>930</f>
        <v>930</v>
      </c>
      <c r="D83" s="316">
        <f t="shared" si="2"/>
        <v>1.2099899799599199</v>
      </c>
      <c r="E83" s="132">
        <v>998</v>
      </c>
      <c r="F83" s="317">
        <v>1207.57</v>
      </c>
      <c r="G83" s="276"/>
    </row>
    <row r="84" spans="1:7" x14ac:dyDescent="0.3">
      <c r="A84" s="131" t="s">
        <v>420</v>
      </c>
      <c r="B84" s="132">
        <v>200</v>
      </c>
      <c r="C84" s="133">
        <f>7600</f>
        <v>7600</v>
      </c>
      <c r="D84" s="316">
        <f t="shared" si="2"/>
        <v>49.339199999999998</v>
      </c>
      <c r="E84" s="132">
        <v>200</v>
      </c>
      <c r="F84" s="317">
        <v>9867.84</v>
      </c>
      <c r="G84" s="276"/>
    </row>
    <row r="85" spans="1:7" x14ac:dyDescent="0.3">
      <c r="A85" s="131" t="s">
        <v>419</v>
      </c>
      <c r="B85" s="132">
        <v>10</v>
      </c>
      <c r="C85" s="133">
        <f>1250</f>
        <v>1250</v>
      </c>
      <c r="D85" s="316">
        <f t="shared" si="2"/>
        <v>162.30000000000001</v>
      </c>
      <c r="E85" s="132">
        <v>10</v>
      </c>
      <c r="F85" s="317">
        <v>1623</v>
      </c>
      <c r="G85" s="276"/>
    </row>
    <row r="86" spans="1:7" x14ac:dyDescent="0.3">
      <c r="A86" s="131" t="s">
        <v>418</v>
      </c>
      <c r="B86" s="132">
        <v>40</v>
      </c>
      <c r="C86" s="133">
        <f>11194</f>
        <v>11194</v>
      </c>
      <c r="D86" s="316">
        <f t="shared" si="2"/>
        <v>363.35725000000002</v>
      </c>
      <c r="E86" s="132">
        <v>40</v>
      </c>
      <c r="F86" s="317">
        <v>14534.29</v>
      </c>
      <c r="G86" s="276"/>
    </row>
    <row r="87" spans="1:7" x14ac:dyDescent="0.3">
      <c r="A87" s="131" t="s">
        <v>417</v>
      </c>
      <c r="B87" s="132">
        <v>10</v>
      </c>
      <c r="C87" s="133">
        <f>1950</f>
        <v>1950</v>
      </c>
      <c r="D87" s="316">
        <f t="shared" si="2"/>
        <v>253.18800000000002</v>
      </c>
      <c r="E87" s="132">
        <v>10</v>
      </c>
      <c r="F87" s="317">
        <v>2531.88</v>
      </c>
      <c r="G87" s="276"/>
    </row>
    <row r="88" spans="1:7" x14ac:dyDescent="0.3">
      <c r="A88" s="131" t="s">
        <v>416</v>
      </c>
      <c r="B88" s="132">
        <v>6</v>
      </c>
      <c r="C88" s="133">
        <f>936.48</f>
        <v>936.48</v>
      </c>
      <c r="D88" s="316">
        <f t="shared" si="2"/>
        <v>400</v>
      </c>
      <c r="E88" s="132">
        <v>15</v>
      </c>
      <c r="F88" s="317">
        <v>6000</v>
      </c>
      <c r="G88" s="276"/>
    </row>
    <row r="89" spans="1:7" x14ac:dyDescent="0.3">
      <c r="A89" s="131" t="s">
        <v>415</v>
      </c>
      <c r="B89" s="132">
        <v>50</v>
      </c>
      <c r="C89" s="133">
        <f>2500</f>
        <v>2500</v>
      </c>
      <c r="D89" s="316">
        <f t="shared" si="2"/>
        <v>64.92</v>
      </c>
      <c r="E89" s="132">
        <v>50</v>
      </c>
      <c r="F89" s="317">
        <v>3246</v>
      </c>
      <c r="G89" s="276"/>
    </row>
    <row r="90" spans="1:7" x14ac:dyDescent="0.3">
      <c r="A90" s="131" t="s">
        <v>414</v>
      </c>
      <c r="B90" s="132">
        <v>25</v>
      </c>
      <c r="C90" s="133">
        <f>4560</f>
        <v>4560</v>
      </c>
      <c r="D90" s="316">
        <f t="shared" si="2"/>
        <v>236.828</v>
      </c>
      <c r="E90" s="132">
        <v>25</v>
      </c>
      <c r="F90" s="317">
        <v>5920.7</v>
      </c>
      <c r="G90" s="276"/>
    </row>
    <row r="91" spans="1:7" x14ac:dyDescent="0.3">
      <c r="A91" s="131" t="s">
        <v>641</v>
      </c>
      <c r="B91" s="132"/>
      <c r="C91" s="133"/>
      <c r="D91" s="316">
        <v>6000</v>
      </c>
      <c r="E91" s="132">
        <v>2</v>
      </c>
      <c r="F91" s="317">
        <f>E91*D91</f>
        <v>12000</v>
      </c>
      <c r="G91" s="276"/>
    </row>
    <row r="92" spans="1:7" x14ac:dyDescent="0.3">
      <c r="A92" s="131" t="s">
        <v>413</v>
      </c>
      <c r="B92" s="132">
        <v>6</v>
      </c>
      <c r="C92" s="133">
        <f>17700</f>
        <v>17700</v>
      </c>
      <c r="D92" s="316">
        <f t="shared" si="2"/>
        <v>6000</v>
      </c>
      <c r="E92" s="132">
        <v>3</v>
      </c>
      <c r="F92" s="317">
        <v>18000</v>
      </c>
      <c r="G92" s="276"/>
    </row>
    <row r="93" spans="1:7" x14ac:dyDescent="0.3">
      <c r="A93" s="131" t="s">
        <v>412</v>
      </c>
      <c r="B93" s="132">
        <v>104</v>
      </c>
      <c r="C93" s="133">
        <f>4888</f>
        <v>4888</v>
      </c>
      <c r="D93" s="316">
        <f t="shared" si="2"/>
        <v>61.024807692307689</v>
      </c>
      <c r="E93" s="132">
        <v>104</v>
      </c>
      <c r="F93" s="317">
        <v>6346.58</v>
      </c>
      <c r="G93" s="276"/>
    </row>
    <row r="94" spans="1:7" x14ac:dyDescent="0.3">
      <c r="A94" s="131" t="s">
        <v>411</v>
      </c>
      <c r="B94" s="132">
        <v>336</v>
      </c>
      <c r="C94" s="133">
        <f>21552</f>
        <v>21552</v>
      </c>
      <c r="D94" s="316">
        <f t="shared" si="2"/>
        <v>83</v>
      </c>
      <c r="E94" s="132">
        <v>212</v>
      </c>
      <c r="F94" s="317">
        <v>17596</v>
      </c>
      <c r="G94" s="276"/>
    </row>
    <row r="95" spans="1:7" x14ac:dyDescent="0.3">
      <c r="A95" s="131" t="s">
        <v>410</v>
      </c>
      <c r="B95" s="132">
        <v>5</v>
      </c>
      <c r="C95" s="133">
        <f>1245.05</f>
        <v>1245.05</v>
      </c>
      <c r="D95" s="316">
        <f t="shared" si="2"/>
        <v>262.66666666666669</v>
      </c>
      <c r="E95" s="132">
        <v>3</v>
      </c>
      <c r="F95" s="317">
        <v>788</v>
      </c>
      <c r="G95" s="276"/>
    </row>
    <row r="96" spans="1:7" x14ac:dyDescent="0.3">
      <c r="A96" s="131" t="s">
        <v>409</v>
      </c>
      <c r="B96" s="132">
        <v>15</v>
      </c>
      <c r="C96" s="133">
        <f>6075</f>
        <v>6075</v>
      </c>
      <c r="D96" s="316">
        <f t="shared" si="2"/>
        <v>525.85199999999998</v>
      </c>
      <c r="E96" s="132">
        <v>15</v>
      </c>
      <c r="F96" s="317">
        <v>7887.78</v>
      </c>
      <c r="G96" s="276"/>
    </row>
    <row r="97" spans="1:7" x14ac:dyDescent="0.3">
      <c r="A97" s="131" t="s">
        <v>408</v>
      </c>
      <c r="B97" s="132">
        <v>5</v>
      </c>
      <c r="C97" s="133">
        <f>1217.5</f>
        <v>1217.5</v>
      </c>
      <c r="D97" s="316">
        <f t="shared" si="2"/>
        <v>316.15999999999997</v>
      </c>
      <c r="E97" s="132">
        <v>5</v>
      </c>
      <c r="F97" s="317">
        <v>1580.8</v>
      </c>
      <c r="G97" s="276"/>
    </row>
    <row r="98" spans="1:7" x14ac:dyDescent="0.3">
      <c r="A98" s="131" t="s">
        <v>407</v>
      </c>
      <c r="B98" s="132">
        <v>6</v>
      </c>
      <c r="C98" s="133">
        <f>1734</f>
        <v>1734</v>
      </c>
      <c r="D98" s="316">
        <f t="shared" si="2"/>
        <v>375.23833333333329</v>
      </c>
      <c r="E98" s="132">
        <v>6</v>
      </c>
      <c r="F98" s="317">
        <v>2251.4299999999998</v>
      </c>
      <c r="G98" s="276"/>
    </row>
    <row r="99" spans="1:7" x14ac:dyDescent="0.3">
      <c r="A99" s="131" t="s">
        <v>406</v>
      </c>
      <c r="B99" s="132">
        <v>3</v>
      </c>
      <c r="C99" s="133">
        <f>1155</f>
        <v>1155</v>
      </c>
      <c r="D99" s="316">
        <f t="shared" si="2"/>
        <v>499.88333333333338</v>
      </c>
      <c r="E99" s="132">
        <v>3</v>
      </c>
      <c r="F99" s="317">
        <v>1499.65</v>
      </c>
      <c r="G99" s="276"/>
    </row>
    <row r="100" spans="1:7" x14ac:dyDescent="0.3">
      <c r="A100" s="131" t="s">
        <v>405</v>
      </c>
      <c r="B100" s="132">
        <v>20</v>
      </c>
      <c r="C100" s="133">
        <f>7210</f>
        <v>7210</v>
      </c>
      <c r="D100" s="316">
        <f t="shared" si="2"/>
        <v>468.07299999999998</v>
      </c>
      <c r="E100" s="132">
        <v>20</v>
      </c>
      <c r="F100" s="317">
        <v>9361.4599999999991</v>
      </c>
      <c r="G100" s="276"/>
    </row>
    <row r="101" spans="1:7" x14ac:dyDescent="0.3">
      <c r="A101" s="131" t="s">
        <v>404</v>
      </c>
      <c r="B101" s="132">
        <v>6</v>
      </c>
      <c r="C101" s="133">
        <f>820.55</f>
        <v>820.55</v>
      </c>
      <c r="D101" s="316">
        <f t="shared" si="2"/>
        <v>177.51166666666666</v>
      </c>
      <c r="E101" s="132">
        <v>6</v>
      </c>
      <c r="F101" s="317">
        <v>1065.07</v>
      </c>
      <c r="G101" s="276"/>
    </row>
    <row r="102" spans="1:7" x14ac:dyDescent="0.3">
      <c r="A102" s="131" t="s">
        <v>403</v>
      </c>
      <c r="B102" s="132">
        <v>10</v>
      </c>
      <c r="C102" s="133">
        <f>1300</f>
        <v>1300</v>
      </c>
      <c r="D102" s="316">
        <v>80</v>
      </c>
      <c r="E102" s="132">
        <v>50</v>
      </c>
      <c r="F102" s="317">
        <f>E102*D102</f>
        <v>4000</v>
      </c>
      <c r="G102" s="276"/>
    </row>
    <row r="103" spans="1:7" x14ac:dyDescent="0.3">
      <c r="A103" s="131" t="s">
        <v>402</v>
      </c>
      <c r="B103" s="132">
        <v>55</v>
      </c>
      <c r="C103" s="133">
        <f>8302.52</f>
        <v>8302.52</v>
      </c>
      <c r="D103" s="316">
        <f t="shared" si="2"/>
        <v>195.99981818181817</v>
      </c>
      <c r="E103" s="132">
        <v>55</v>
      </c>
      <c r="F103" s="317">
        <v>10779.99</v>
      </c>
      <c r="G103" s="276"/>
    </row>
    <row r="104" spans="1:7" x14ac:dyDescent="0.3">
      <c r="A104" s="131" t="s">
        <v>401</v>
      </c>
      <c r="B104" s="132">
        <v>100</v>
      </c>
      <c r="C104" s="133">
        <f>1148</f>
        <v>1148</v>
      </c>
      <c r="D104" s="316">
        <v>15</v>
      </c>
      <c r="E104" s="132">
        <v>500</v>
      </c>
      <c r="F104" s="317">
        <f>E104*D104</f>
        <v>7500</v>
      </c>
      <c r="G104" s="276"/>
    </row>
    <row r="105" spans="1:7" x14ac:dyDescent="0.3">
      <c r="A105" s="131" t="s">
        <v>400</v>
      </c>
      <c r="B105" s="132">
        <v>350.5</v>
      </c>
      <c r="C105" s="133">
        <f>30256.62</f>
        <v>30256.62</v>
      </c>
      <c r="D105" s="316">
        <f t="shared" ref="D105:D137" si="3">F105/E105</f>
        <v>112.0833095577746</v>
      </c>
      <c r="E105" s="132">
        <v>350.5</v>
      </c>
      <c r="F105" s="317">
        <v>39285.199999999997</v>
      </c>
      <c r="G105" s="276"/>
    </row>
    <row r="106" spans="1:7" x14ac:dyDescent="0.3">
      <c r="A106" s="131" t="s">
        <v>399</v>
      </c>
      <c r="B106" s="132">
        <v>5</v>
      </c>
      <c r="C106" s="133">
        <f>1995</f>
        <v>1995</v>
      </c>
      <c r="D106" s="316">
        <v>518</v>
      </c>
      <c r="E106" s="132">
        <v>10</v>
      </c>
      <c r="F106" s="317">
        <f>E106*D106</f>
        <v>5180</v>
      </c>
      <c r="G106" s="276"/>
    </row>
    <row r="107" spans="1:7" x14ac:dyDescent="0.3">
      <c r="A107" s="131" t="s">
        <v>398</v>
      </c>
      <c r="B107" s="132">
        <v>7</v>
      </c>
      <c r="C107" s="133">
        <f>974</f>
        <v>974</v>
      </c>
      <c r="D107" s="316">
        <v>181</v>
      </c>
      <c r="E107" s="132">
        <v>20</v>
      </c>
      <c r="F107" s="317">
        <f>E107*D107</f>
        <v>3620</v>
      </c>
      <c r="G107" s="276"/>
    </row>
    <row r="108" spans="1:7" x14ac:dyDescent="0.3">
      <c r="A108" s="131" t="s">
        <v>397</v>
      </c>
      <c r="B108" s="132">
        <v>333</v>
      </c>
      <c r="C108" s="133">
        <f>34299</f>
        <v>34299</v>
      </c>
      <c r="D108" s="316">
        <f t="shared" si="3"/>
        <v>133.73519519519519</v>
      </c>
      <c r="E108" s="132">
        <v>333</v>
      </c>
      <c r="F108" s="317">
        <v>44533.82</v>
      </c>
      <c r="G108" s="276"/>
    </row>
    <row r="109" spans="1:7" x14ac:dyDescent="0.3">
      <c r="A109" s="131" t="s">
        <v>396</v>
      </c>
      <c r="B109" s="132">
        <v>1</v>
      </c>
      <c r="C109" s="133">
        <f>920</f>
        <v>920</v>
      </c>
      <c r="D109" s="316">
        <v>1195</v>
      </c>
      <c r="E109" s="132">
        <v>5</v>
      </c>
      <c r="F109" s="317">
        <f>E109*D109</f>
        <v>5975</v>
      </c>
      <c r="G109" s="276"/>
    </row>
    <row r="110" spans="1:7" x14ac:dyDescent="0.3">
      <c r="A110" s="131" t="s">
        <v>395</v>
      </c>
      <c r="B110" s="132">
        <v>100</v>
      </c>
      <c r="C110" s="133">
        <f>14000</f>
        <v>14000</v>
      </c>
      <c r="D110" s="316">
        <f t="shared" si="3"/>
        <v>181.77599999999998</v>
      </c>
      <c r="E110" s="132">
        <v>100</v>
      </c>
      <c r="F110" s="317">
        <v>18177.599999999999</v>
      </c>
      <c r="G110" s="276"/>
    </row>
    <row r="111" spans="1:7" x14ac:dyDescent="0.3">
      <c r="A111" s="131" t="s">
        <v>394</v>
      </c>
      <c r="B111" s="132">
        <v>16</v>
      </c>
      <c r="C111" s="133">
        <f>2402.61</f>
        <v>2402.61</v>
      </c>
      <c r="D111" s="316">
        <v>152</v>
      </c>
      <c r="E111" s="132">
        <v>100</v>
      </c>
      <c r="F111" s="317">
        <f>E111*D111</f>
        <v>15200</v>
      </c>
      <c r="G111" s="276"/>
    </row>
    <row r="112" spans="1:7" x14ac:dyDescent="0.3">
      <c r="A112" s="131" t="s">
        <v>393</v>
      </c>
      <c r="B112" s="132">
        <v>2</v>
      </c>
      <c r="C112" s="133">
        <f>792</f>
        <v>792</v>
      </c>
      <c r="D112" s="316">
        <v>280</v>
      </c>
      <c r="E112" s="132">
        <v>15</v>
      </c>
      <c r="F112" s="317">
        <f>E112*D112</f>
        <v>4200</v>
      </c>
      <c r="G112" s="276"/>
    </row>
    <row r="113" spans="1:7" x14ac:dyDescent="0.3">
      <c r="A113" s="131" t="s">
        <v>392</v>
      </c>
      <c r="B113" s="132">
        <v>400</v>
      </c>
      <c r="C113" s="133">
        <f>20320</f>
        <v>20320</v>
      </c>
      <c r="D113" s="316">
        <f t="shared" si="3"/>
        <v>65.958725000000001</v>
      </c>
      <c r="E113" s="132">
        <v>400</v>
      </c>
      <c r="F113" s="317">
        <v>26383.49</v>
      </c>
      <c r="G113" s="276"/>
    </row>
    <row r="114" spans="1:7" x14ac:dyDescent="0.3">
      <c r="A114" s="131" t="s">
        <v>391</v>
      </c>
      <c r="B114" s="132" t="s">
        <v>390</v>
      </c>
      <c r="C114" s="133">
        <f>145152.9</f>
        <v>145152.9</v>
      </c>
      <c r="D114" s="316">
        <f t="shared" si="3"/>
        <v>85.008027743882849</v>
      </c>
      <c r="E114" s="132">
        <v>2335.65</v>
      </c>
      <c r="F114" s="317">
        <v>198549</v>
      </c>
      <c r="G114" s="276"/>
    </row>
    <row r="115" spans="1:7" x14ac:dyDescent="0.3">
      <c r="A115" s="131" t="s">
        <v>389</v>
      </c>
      <c r="B115" s="132">
        <v>6</v>
      </c>
      <c r="C115" s="133">
        <f>1801</f>
        <v>1801</v>
      </c>
      <c r="D115" s="316">
        <f t="shared" si="3"/>
        <v>389.73666666666668</v>
      </c>
      <c r="E115" s="132">
        <v>6</v>
      </c>
      <c r="F115" s="317">
        <v>2338.42</v>
      </c>
      <c r="G115" s="276"/>
    </row>
    <row r="116" spans="1:7" x14ac:dyDescent="0.3">
      <c r="A116" s="131" t="s">
        <v>388</v>
      </c>
      <c r="B116" s="132">
        <v>125</v>
      </c>
      <c r="C116" s="133">
        <f>2375</f>
        <v>2375</v>
      </c>
      <c r="D116" s="316">
        <f t="shared" si="3"/>
        <v>30.837</v>
      </c>
      <c r="E116" s="132">
        <v>100</v>
      </c>
      <c r="F116" s="317">
        <v>3083.7</v>
      </c>
      <c r="G116" s="276"/>
    </row>
    <row r="117" spans="1:7" x14ac:dyDescent="0.3">
      <c r="A117" s="131" t="s">
        <v>387</v>
      </c>
      <c r="B117" s="132">
        <v>6</v>
      </c>
      <c r="C117" s="133">
        <f>47340</f>
        <v>47340</v>
      </c>
      <c r="D117" s="316">
        <f t="shared" si="3"/>
        <v>11147.333333333334</v>
      </c>
      <c r="E117" s="132">
        <v>3</v>
      </c>
      <c r="F117" s="317">
        <v>33442</v>
      </c>
      <c r="G117" s="276"/>
    </row>
    <row r="118" spans="1:7" x14ac:dyDescent="0.3">
      <c r="A118" s="131" t="s">
        <v>386</v>
      </c>
      <c r="B118" s="132" t="s">
        <v>385</v>
      </c>
      <c r="C118" s="133">
        <f>44104</f>
        <v>44104</v>
      </c>
      <c r="D118" s="316">
        <f t="shared" si="3"/>
        <v>26.37</v>
      </c>
      <c r="E118" s="132">
        <v>3500</v>
      </c>
      <c r="F118" s="317">
        <v>92295</v>
      </c>
      <c r="G118" s="276"/>
    </row>
    <row r="119" spans="1:7" x14ac:dyDescent="0.3">
      <c r="A119" s="131" t="s">
        <v>384</v>
      </c>
      <c r="B119" s="132">
        <v>20</v>
      </c>
      <c r="C119" s="133">
        <f>1600</f>
        <v>1600</v>
      </c>
      <c r="D119" s="316">
        <v>104</v>
      </c>
      <c r="E119" s="132">
        <v>40</v>
      </c>
      <c r="F119" s="317">
        <f>E119*D119</f>
        <v>4160</v>
      </c>
      <c r="G119" s="276"/>
    </row>
    <row r="120" spans="1:7" x14ac:dyDescent="0.3">
      <c r="A120" s="131" t="s">
        <v>383</v>
      </c>
      <c r="B120" s="132">
        <v>3</v>
      </c>
      <c r="C120" s="133">
        <f>855</f>
        <v>855</v>
      </c>
      <c r="D120" s="316">
        <f t="shared" si="3"/>
        <v>370.04333333333335</v>
      </c>
      <c r="E120" s="132">
        <v>3</v>
      </c>
      <c r="F120" s="317">
        <v>1110.1300000000001</v>
      </c>
      <c r="G120" s="276"/>
    </row>
    <row r="121" spans="1:7" x14ac:dyDescent="0.3">
      <c r="A121" s="131" t="s">
        <v>382</v>
      </c>
      <c r="B121" s="132">
        <v>9</v>
      </c>
      <c r="C121" s="133">
        <f>1215</f>
        <v>1215</v>
      </c>
      <c r="D121" s="316">
        <f t="shared" si="3"/>
        <v>175.28</v>
      </c>
      <c r="E121" s="132">
        <v>15</v>
      </c>
      <c r="F121" s="317">
        <v>2629.2</v>
      </c>
      <c r="G121" s="276"/>
    </row>
    <row r="122" spans="1:7" x14ac:dyDescent="0.3">
      <c r="A122" s="131" t="s">
        <v>381</v>
      </c>
      <c r="B122" s="132">
        <v>10</v>
      </c>
      <c r="C122" s="133">
        <f>1371.9</f>
        <v>1371.9</v>
      </c>
      <c r="D122" s="316">
        <v>238</v>
      </c>
      <c r="E122" s="132">
        <v>20</v>
      </c>
      <c r="F122" s="317">
        <f>E122*D122</f>
        <v>4760</v>
      </c>
      <c r="G122" s="276"/>
    </row>
    <row r="123" spans="1:7" x14ac:dyDescent="0.3">
      <c r="A123" s="131" t="s">
        <v>380</v>
      </c>
      <c r="B123" s="132">
        <v>13</v>
      </c>
      <c r="C123" s="133">
        <f>11140</f>
        <v>11140</v>
      </c>
      <c r="D123" s="316">
        <f t="shared" si="3"/>
        <v>1112.6292307692308</v>
      </c>
      <c r="E123" s="132">
        <v>13</v>
      </c>
      <c r="F123" s="317">
        <v>14464.18</v>
      </c>
      <c r="G123" s="276"/>
    </row>
    <row r="124" spans="1:7" x14ac:dyDescent="0.3">
      <c r="A124" s="131" t="s">
        <v>379</v>
      </c>
      <c r="B124" s="132">
        <v>5</v>
      </c>
      <c r="C124" s="133">
        <f>1550</f>
        <v>1550</v>
      </c>
      <c r="D124" s="316">
        <v>1208</v>
      </c>
      <c r="E124" s="132">
        <v>50</v>
      </c>
      <c r="F124" s="317">
        <f>E124*D124</f>
        <v>60400</v>
      </c>
      <c r="G124" s="276"/>
    </row>
    <row r="125" spans="1:7" x14ac:dyDescent="0.3">
      <c r="A125" s="131" t="s">
        <v>378</v>
      </c>
      <c r="B125" s="132">
        <v>4</v>
      </c>
      <c r="C125" s="133">
        <f>1601.22</f>
        <v>1601.22</v>
      </c>
      <c r="D125" s="316">
        <f t="shared" si="3"/>
        <v>519.755</v>
      </c>
      <c r="E125" s="132">
        <v>4</v>
      </c>
      <c r="F125" s="317">
        <v>2079.02</v>
      </c>
      <c r="G125" s="276"/>
    </row>
    <row r="126" spans="1:7" x14ac:dyDescent="0.3">
      <c r="A126" s="131" t="s">
        <v>642</v>
      </c>
      <c r="B126" s="132"/>
      <c r="C126" s="133"/>
      <c r="D126" s="316">
        <v>52106</v>
      </c>
      <c r="E126" s="132">
        <v>1</v>
      </c>
      <c r="F126" s="317">
        <v>52106</v>
      </c>
      <c r="G126" s="276"/>
    </row>
    <row r="127" spans="1:7" x14ac:dyDescent="0.3">
      <c r="A127" s="131" t="s">
        <v>377</v>
      </c>
      <c r="B127" s="132">
        <v>116</v>
      </c>
      <c r="C127" s="133">
        <f>20000</f>
        <v>20000</v>
      </c>
      <c r="D127" s="316">
        <f t="shared" si="3"/>
        <v>223.86206896551724</v>
      </c>
      <c r="E127" s="132">
        <v>116</v>
      </c>
      <c r="F127" s="317">
        <v>25968</v>
      </c>
      <c r="G127" s="276"/>
    </row>
    <row r="128" spans="1:7" x14ac:dyDescent="0.3">
      <c r="A128" s="131" t="s">
        <v>376</v>
      </c>
      <c r="B128" s="132">
        <v>46</v>
      </c>
      <c r="C128" s="133">
        <f>834.15</f>
        <v>834.15</v>
      </c>
      <c r="D128" s="316">
        <f t="shared" si="3"/>
        <v>23.544782608695652</v>
      </c>
      <c r="E128" s="132">
        <v>46</v>
      </c>
      <c r="F128" s="317">
        <v>1083.06</v>
      </c>
      <c r="G128" s="276"/>
    </row>
    <row r="129" spans="1:7" x14ac:dyDescent="0.3">
      <c r="A129" s="131" t="s">
        <v>375</v>
      </c>
      <c r="B129" s="132">
        <v>100</v>
      </c>
      <c r="C129" s="133">
        <f>815</f>
        <v>815</v>
      </c>
      <c r="D129" s="316">
        <v>11</v>
      </c>
      <c r="E129" s="132">
        <v>500</v>
      </c>
      <c r="F129" s="317">
        <f>E129*D129</f>
        <v>5500</v>
      </c>
      <c r="G129" s="276"/>
    </row>
    <row r="130" spans="1:7" x14ac:dyDescent="0.3">
      <c r="A130" s="131" t="s">
        <v>374</v>
      </c>
      <c r="B130" s="132">
        <v>205</v>
      </c>
      <c r="C130" s="133">
        <f>3893.8</f>
        <v>3893.8</v>
      </c>
      <c r="D130" s="316">
        <f t="shared" si="3"/>
        <v>24.661999999999999</v>
      </c>
      <c r="E130" s="132">
        <v>205</v>
      </c>
      <c r="F130" s="317">
        <v>5055.71</v>
      </c>
      <c r="G130" s="276"/>
    </row>
    <row r="131" spans="1:7" x14ac:dyDescent="0.3">
      <c r="A131" s="131" t="s">
        <v>373</v>
      </c>
      <c r="B131" s="132">
        <v>35</v>
      </c>
      <c r="C131" s="133">
        <f>1463.19</f>
        <v>1463.19</v>
      </c>
      <c r="D131" s="316">
        <f t="shared" si="3"/>
        <v>54.280285714285711</v>
      </c>
      <c r="E131" s="132">
        <v>35</v>
      </c>
      <c r="F131" s="317">
        <v>1899.81</v>
      </c>
      <c r="G131" s="276"/>
    </row>
    <row r="132" spans="1:7" x14ac:dyDescent="0.3">
      <c r="A132" s="131" t="s">
        <v>372</v>
      </c>
      <c r="B132" s="132">
        <v>6</v>
      </c>
      <c r="C132" s="133">
        <f>1067.65</f>
        <v>1067.6500000000001</v>
      </c>
      <c r="D132" s="316">
        <v>231</v>
      </c>
      <c r="E132" s="132">
        <v>30</v>
      </c>
      <c r="F132" s="317">
        <f>E132*D132</f>
        <v>6930</v>
      </c>
      <c r="G132" s="276"/>
    </row>
    <row r="133" spans="1:7" x14ac:dyDescent="0.3">
      <c r="A133" s="131" t="s">
        <v>371</v>
      </c>
      <c r="B133" s="132">
        <v>17</v>
      </c>
      <c r="C133" s="133">
        <f>22570</f>
        <v>22570</v>
      </c>
      <c r="D133" s="316">
        <f t="shared" si="3"/>
        <v>1723.8170588235294</v>
      </c>
      <c r="E133" s="132">
        <v>17</v>
      </c>
      <c r="F133" s="317">
        <v>29304.89</v>
      </c>
      <c r="G133" s="276"/>
    </row>
    <row r="134" spans="1:7" x14ac:dyDescent="0.3">
      <c r="A134" s="131" t="s">
        <v>370</v>
      </c>
      <c r="B134" s="132" t="s">
        <v>369</v>
      </c>
      <c r="C134" s="133">
        <f>70192</f>
        <v>70192</v>
      </c>
      <c r="D134" s="316">
        <f t="shared" si="3"/>
        <v>71.650000000000006</v>
      </c>
      <c r="E134" s="132">
        <v>1500</v>
      </c>
      <c r="F134" s="317">
        <v>107475</v>
      </c>
      <c r="G134" s="276"/>
    </row>
    <row r="135" spans="1:7" x14ac:dyDescent="0.3">
      <c r="A135" s="131" t="s">
        <v>368</v>
      </c>
      <c r="B135" s="132">
        <v>5</v>
      </c>
      <c r="C135" s="133">
        <f>2075</f>
        <v>2075</v>
      </c>
      <c r="D135" s="316">
        <f t="shared" si="3"/>
        <v>538.83600000000001</v>
      </c>
      <c r="E135" s="132">
        <v>5</v>
      </c>
      <c r="F135" s="317">
        <v>2694.18</v>
      </c>
      <c r="G135" s="276"/>
    </row>
    <row r="136" spans="1:7" x14ac:dyDescent="0.3">
      <c r="A136" s="131" t="s">
        <v>367</v>
      </c>
      <c r="B136" s="132">
        <v>5</v>
      </c>
      <c r="C136" s="133">
        <f>3321.7</f>
        <v>3321.7</v>
      </c>
      <c r="D136" s="316">
        <v>863</v>
      </c>
      <c r="E136" s="132">
        <v>10</v>
      </c>
      <c r="F136" s="317">
        <f>E136*D136</f>
        <v>8630</v>
      </c>
      <c r="G136" s="276"/>
    </row>
    <row r="137" spans="1:7" x14ac:dyDescent="0.3">
      <c r="A137" s="131" t="s">
        <v>366</v>
      </c>
      <c r="B137" s="132">
        <v>185</v>
      </c>
      <c r="C137" s="133">
        <f>16684.3</f>
        <v>16684.3</v>
      </c>
      <c r="D137" s="316">
        <f t="shared" si="3"/>
        <v>150</v>
      </c>
      <c r="E137" s="132">
        <v>220</v>
      </c>
      <c r="F137" s="317">
        <v>33000</v>
      </c>
      <c r="G137" s="276"/>
    </row>
    <row r="138" spans="1:7" x14ac:dyDescent="0.3">
      <c r="A138" s="131" t="s">
        <v>365</v>
      </c>
      <c r="B138" s="132">
        <v>101</v>
      </c>
      <c r="C138" s="133">
        <f>2420</f>
        <v>2420</v>
      </c>
      <c r="D138" s="316">
        <f t="shared" ref="D138:D151" si="4">F138/E138</f>
        <v>31.110198019801981</v>
      </c>
      <c r="E138" s="132">
        <v>101</v>
      </c>
      <c r="F138" s="317">
        <v>3142.13</v>
      </c>
      <c r="G138" s="276"/>
    </row>
    <row r="139" spans="1:7" x14ac:dyDescent="0.3">
      <c r="A139" s="131" t="s">
        <v>364</v>
      </c>
      <c r="B139" s="132">
        <v>4</v>
      </c>
      <c r="C139" s="133">
        <f>818</f>
        <v>818</v>
      </c>
      <c r="D139" s="316">
        <v>266</v>
      </c>
      <c r="E139" s="132">
        <v>40</v>
      </c>
      <c r="F139" s="317">
        <f>E139*D139</f>
        <v>10640</v>
      </c>
      <c r="G139" s="276"/>
    </row>
    <row r="140" spans="1:7" x14ac:dyDescent="0.3">
      <c r="A140" s="131" t="s">
        <v>570</v>
      </c>
      <c r="B140" s="132">
        <v>1</v>
      </c>
      <c r="C140" s="133">
        <f>1100</f>
        <v>1100</v>
      </c>
      <c r="D140" s="316">
        <f t="shared" si="4"/>
        <v>1428.24</v>
      </c>
      <c r="E140" s="132">
        <v>1</v>
      </c>
      <c r="F140" s="317">
        <v>1428.24</v>
      </c>
      <c r="G140" s="276"/>
    </row>
    <row r="141" spans="1:7" x14ac:dyDescent="0.3">
      <c r="A141" s="131" t="s">
        <v>363</v>
      </c>
      <c r="B141" s="132">
        <v>510</v>
      </c>
      <c r="C141" s="133">
        <f>34680</f>
        <v>34680</v>
      </c>
      <c r="D141" s="316">
        <f t="shared" si="4"/>
        <v>138.49411764705883</v>
      </c>
      <c r="E141" s="132">
        <v>510</v>
      </c>
      <c r="F141" s="317">
        <v>70632</v>
      </c>
      <c r="G141" s="276"/>
    </row>
    <row r="142" spans="1:7" x14ac:dyDescent="0.3">
      <c r="A142" s="131" t="s">
        <v>362</v>
      </c>
      <c r="B142" s="132">
        <v>504</v>
      </c>
      <c r="C142" s="133">
        <f>41328</f>
        <v>41328</v>
      </c>
      <c r="D142" s="316">
        <f t="shared" si="4"/>
        <v>106.46880952380953</v>
      </c>
      <c r="E142" s="132">
        <v>504</v>
      </c>
      <c r="F142" s="317">
        <v>53660.28</v>
      </c>
      <c r="G142" s="276"/>
    </row>
    <row r="143" spans="1:7" x14ac:dyDescent="0.3">
      <c r="A143" s="131" t="s">
        <v>361</v>
      </c>
      <c r="B143" s="132">
        <v>160</v>
      </c>
      <c r="C143" s="133">
        <f>9246.5</f>
        <v>9246.5</v>
      </c>
      <c r="D143" s="316">
        <f t="shared" si="4"/>
        <v>75.035375000000002</v>
      </c>
      <c r="E143" s="132">
        <v>160</v>
      </c>
      <c r="F143" s="317">
        <v>12005.66</v>
      </c>
      <c r="G143" s="276"/>
    </row>
    <row r="144" spans="1:7" x14ac:dyDescent="0.3">
      <c r="A144" s="131" t="s">
        <v>360</v>
      </c>
      <c r="B144" s="132">
        <v>100</v>
      </c>
      <c r="C144" s="133">
        <f>975</f>
        <v>975</v>
      </c>
      <c r="D144" s="316">
        <f t="shared" si="4"/>
        <v>12.6594</v>
      </c>
      <c r="E144" s="132">
        <v>100</v>
      </c>
      <c r="F144" s="317">
        <v>1265.94</v>
      </c>
      <c r="G144" s="276"/>
    </row>
    <row r="145" spans="1:7" x14ac:dyDescent="0.3">
      <c r="A145" s="131" t="s">
        <v>358</v>
      </c>
      <c r="B145" s="132">
        <v>6</v>
      </c>
      <c r="C145" s="133">
        <f>1066</f>
        <v>1066</v>
      </c>
      <c r="D145" s="316">
        <f t="shared" si="4"/>
        <v>230.68166666666664</v>
      </c>
      <c r="E145" s="132">
        <v>6</v>
      </c>
      <c r="F145" s="317">
        <v>1384.09</v>
      </c>
      <c r="G145" s="276"/>
    </row>
    <row r="146" spans="1:7" x14ac:dyDescent="0.3">
      <c r="A146" s="131" t="s">
        <v>357</v>
      </c>
      <c r="B146" s="132">
        <v>2</v>
      </c>
      <c r="C146" s="133">
        <f>810</f>
        <v>810</v>
      </c>
      <c r="D146" s="316">
        <f t="shared" si="4"/>
        <v>525.85</v>
      </c>
      <c r="E146" s="132">
        <v>2</v>
      </c>
      <c r="F146" s="317">
        <v>1051.7</v>
      </c>
      <c r="G146" s="276"/>
    </row>
    <row r="147" spans="1:7" x14ac:dyDescent="0.3">
      <c r="A147" s="131" t="s">
        <v>356</v>
      </c>
      <c r="B147" s="132">
        <v>20</v>
      </c>
      <c r="C147" s="133">
        <f>8900</f>
        <v>8900</v>
      </c>
      <c r="D147" s="316">
        <f t="shared" si="4"/>
        <v>577.78800000000001</v>
      </c>
      <c r="E147" s="132">
        <v>20</v>
      </c>
      <c r="F147" s="317">
        <v>11555.76</v>
      </c>
      <c r="G147" s="276"/>
    </row>
    <row r="148" spans="1:7" x14ac:dyDescent="0.3">
      <c r="A148" s="131" t="s">
        <v>355</v>
      </c>
      <c r="B148" s="132">
        <v>80</v>
      </c>
      <c r="C148" s="133">
        <f>15604</f>
        <v>15604</v>
      </c>
      <c r="D148" s="316">
        <f t="shared" si="4"/>
        <v>253.25287499999999</v>
      </c>
      <c r="E148" s="132">
        <v>80</v>
      </c>
      <c r="F148" s="317">
        <v>20260.23</v>
      </c>
      <c r="G148" s="276"/>
    </row>
    <row r="149" spans="1:7" x14ac:dyDescent="0.3">
      <c r="A149" s="131" t="s">
        <v>354</v>
      </c>
      <c r="B149" s="132">
        <v>4</v>
      </c>
      <c r="C149" s="133">
        <f>4800</f>
        <v>4800</v>
      </c>
      <c r="D149" s="316">
        <f t="shared" si="4"/>
        <v>1558.08</v>
      </c>
      <c r="E149" s="132">
        <v>4</v>
      </c>
      <c r="F149" s="317">
        <v>6232.32</v>
      </c>
      <c r="G149" s="276"/>
    </row>
    <row r="150" spans="1:7" x14ac:dyDescent="0.3">
      <c r="A150" s="131" t="s">
        <v>353</v>
      </c>
      <c r="B150" s="132">
        <v>1</v>
      </c>
      <c r="C150" s="133">
        <f>1396</f>
        <v>1396</v>
      </c>
      <c r="D150" s="316">
        <f t="shared" si="4"/>
        <v>1812.57</v>
      </c>
      <c r="E150" s="132">
        <v>1</v>
      </c>
      <c r="F150" s="317">
        <v>1812.57</v>
      </c>
      <c r="G150" s="276"/>
    </row>
    <row r="151" spans="1:7" x14ac:dyDescent="0.3">
      <c r="A151" s="131" t="s">
        <v>571</v>
      </c>
      <c r="B151" s="132">
        <v>3</v>
      </c>
      <c r="C151" s="133">
        <f>2100</f>
        <v>2100</v>
      </c>
      <c r="D151" s="316">
        <f t="shared" si="4"/>
        <v>908.88</v>
      </c>
      <c r="E151" s="132">
        <v>3</v>
      </c>
      <c r="F151" s="317">
        <v>2726.64</v>
      </c>
      <c r="G151" s="291"/>
    </row>
    <row r="152" spans="1:7" x14ac:dyDescent="0.3">
      <c r="A152" s="131" t="s">
        <v>352</v>
      </c>
      <c r="B152" s="132" t="s">
        <v>351</v>
      </c>
      <c r="C152" s="133">
        <f>6702.17</f>
        <v>6702.17</v>
      </c>
      <c r="D152" s="316">
        <v>2</v>
      </c>
      <c r="E152" s="132" t="s">
        <v>351</v>
      </c>
      <c r="F152" s="317">
        <v>6720</v>
      </c>
      <c r="G152" s="276"/>
    </row>
    <row r="153" spans="1:7" x14ac:dyDescent="0.3">
      <c r="A153" s="131" t="s">
        <v>350</v>
      </c>
      <c r="B153" s="132">
        <v>13</v>
      </c>
      <c r="C153" s="133">
        <f>3016</f>
        <v>3016</v>
      </c>
      <c r="D153" s="316">
        <f t="shared" ref="D153:D164" si="5">F153/E153</f>
        <v>301.22846153846154</v>
      </c>
      <c r="E153" s="132">
        <v>13</v>
      </c>
      <c r="F153" s="317">
        <v>3915.97</v>
      </c>
      <c r="G153" s="276"/>
    </row>
    <row r="154" spans="1:7" x14ac:dyDescent="0.3">
      <c r="A154" s="131" t="s">
        <v>349</v>
      </c>
      <c r="B154" s="132">
        <v>8</v>
      </c>
      <c r="C154" s="133">
        <f>1416</f>
        <v>1416</v>
      </c>
      <c r="D154" s="316">
        <f t="shared" si="5"/>
        <v>229.81625</v>
      </c>
      <c r="E154" s="132">
        <v>8</v>
      </c>
      <c r="F154" s="317">
        <v>1838.53</v>
      </c>
      <c r="G154" s="276"/>
    </row>
    <row r="155" spans="1:7" x14ac:dyDescent="0.3">
      <c r="A155" s="131" t="s">
        <v>348</v>
      </c>
      <c r="B155" s="132">
        <v>9</v>
      </c>
      <c r="C155" s="133">
        <f>1791</f>
        <v>1791</v>
      </c>
      <c r="D155" s="316">
        <f t="shared" si="5"/>
        <v>258.38111111111107</v>
      </c>
      <c r="E155" s="132">
        <v>9</v>
      </c>
      <c r="F155" s="317">
        <v>2325.4299999999998</v>
      </c>
      <c r="G155" s="276"/>
    </row>
    <row r="156" spans="1:7" x14ac:dyDescent="0.3">
      <c r="A156" s="131" t="s">
        <v>347</v>
      </c>
      <c r="B156" s="132">
        <v>10</v>
      </c>
      <c r="C156" s="133">
        <f>2182</f>
        <v>2182</v>
      </c>
      <c r="D156" s="316">
        <f t="shared" si="5"/>
        <v>283.31100000000004</v>
      </c>
      <c r="E156" s="132">
        <v>10</v>
      </c>
      <c r="F156" s="317">
        <v>2833.11</v>
      </c>
      <c r="G156" s="276"/>
    </row>
    <row r="157" spans="1:7" x14ac:dyDescent="0.3">
      <c r="A157" s="131" t="s">
        <v>346</v>
      </c>
      <c r="B157" s="132">
        <v>1</v>
      </c>
      <c r="C157" s="133">
        <f>1284</f>
        <v>1284</v>
      </c>
      <c r="D157" s="316">
        <f t="shared" si="5"/>
        <v>2000</v>
      </c>
      <c r="E157" s="132">
        <v>3</v>
      </c>
      <c r="F157" s="317">
        <v>6000</v>
      </c>
      <c r="G157" s="276"/>
    </row>
    <row r="158" spans="1:7" x14ac:dyDescent="0.3">
      <c r="A158" s="131" t="s">
        <v>345</v>
      </c>
      <c r="B158" s="132">
        <v>60</v>
      </c>
      <c r="C158" s="133">
        <f>2620</f>
        <v>2620</v>
      </c>
      <c r="D158" s="316">
        <f t="shared" si="5"/>
        <v>56.696833333333331</v>
      </c>
      <c r="E158" s="132">
        <v>60</v>
      </c>
      <c r="F158" s="317">
        <v>3401.81</v>
      </c>
      <c r="G158" s="276"/>
    </row>
    <row r="159" spans="1:7" x14ac:dyDescent="0.3">
      <c r="A159" s="131" t="s">
        <v>344</v>
      </c>
      <c r="B159" s="132">
        <v>6</v>
      </c>
      <c r="C159" s="133">
        <f>15810</f>
        <v>15810</v>
      </c>
      <c r="D159" s="316">
        <f t="shared" si="5"/>
        <v>3288.7516666666666</v>
      </c>
      <c r="E159" s="132">
        <v>6</v>
      </c>
      <c r="F159" s="317">
        <v>19732.509999999998</v>
      </c>
      <c r="G159" s="276"/>
    </row>
    <row r="160" spans="1:7" x14ac:dyDescent="0.3">
      <c r="A160" s="131" t="s">
        <v>343</v>
      </c>
      <c r="B160" s="132">
        <v>1</v>
      </c>
      <c r="C160" s="133">
        <f>1010</f>
        <v>1010</v>
      </c>
      <c r="D160" s="316">
        <f t="shared" si="5"/>
        <v>1300</v>
      </c>
      <c r="E160" s="132">
        <v>3</v>
      </c>
      <c r="F160" s="317">
        <v>3900</v>
      </c>
      <c r="G160" s="276"/>
    </row>
    <row r="161" spans="1:9" x14ac:dyDescent="0.3">
      <c r="A161" s="131" t="s">
        <v>342</v>
      </c>
      <c r="B161" s="132">
        <v>5</v>
      </c>
      <c r="C161" s="133">
        <f>794.85</f>
        <v>794.85</v>
      </c>
      <c r="D161" s="316">
        <f t="shared" si="5"/>
        <v>230</v>
      </c>
      <c r="E161" s="132">
        <v>10</v>
      </c>
      <c r="F161" s="317">
        <v>2300</v>
      </c>
      <c r="G161" s="276"/>
    </row>
    <row r="162" spans="1:9" x14ac:dyDescent="0.3">
      <c r="A162" s="131" t="s">
        <v>341</v>
      </c>
      <c r="B162" s="132">
        <v>35</v>
      </c>
      <c r="C162" s="133">
        <f>2155</f>
        <v>2155</v>
      </c>
      <c r="D162" s="316">
        <f t="shared" si="5"/>
        <v>112.5</v>
      </c>
      <c r="E162" s="132">
        <v>40</v>
      </c>
      <c r="F162" s="317">
        <v>4500</v>
      </c>
      <c r="G162" s="276"/>
    </row>
    <row r="163" spans="1:9" x14ac:dyDescent="0.3">
      <c r="A163" s="131" t="s">
        <v>340</v>
      </c>
      <c r="B163" s="132">
        <v>12</v>
      </c>
      <c r="C163" s="133">
        <f>7486.6</f>
        <v>7486.6</v>
      </c>
      <c r="D163" s="316">
        <f t="shared" si="5"/>
        <v>790.63499999999999</v>
      </c>
      <c r="E163" s="132">
        <v>14</v>
      </c>
      <c r="F163" s="317">
        <v>11068.89</v>
      </c>
      <c r="G163" s="276"/>
    </row>
    <row r="164" spans="1:9" ht="15" thickBot="1" x14ac:dyDescent="0.35">
      <c r="A164" s="131" t="s">
        <v>339</v>
      </c>
      <c r="B164" s="132">
        <v>15</v>
      </c>
      <c r="C164" s="133">
        <f>1965</f>
        <v>1965</v>
      </c>
      <c r="D164" s="316">
        <f t="shared" si="5"/>
        <v>260.00880000000001</v>
      </c>
      <c r="E164" s="132">
        <v>25</v>
      </c>
      <c r="F164" s="317">
        <v>6500.22</v>
      </c>
      <c r="G164" s="276"/>
    </row>
    <row r="165" spans="1:9" ht="16.2" thickBot="1" x14ac:dyDescent="0.35">
      <c r="A165" s="25" t="s">
        <v>82</v>
      </c>
      <c r="B165" s="290"/>
      <c r="C165" s="289"/>
      <c r="D165" s="288" t="s">
        <v>61</v>
      </c>
      <c r="E165" s="287" t="s">
        <v>61</v>
      </c>
      <c r="F165" s="325">
        <f>SUM(F8:F164)</f>
        <v>2063624.149999999</v>
      </c>
      <c r="G165" s="5"/>
      <c r="I165" s="286"/>
    </row>
    <row r="166" spans="1:9" ht="15" thickBot="1" x14ac:dyDescent="0.35">
      <c r="A166" s="591" t="s">
        <v>234</v>
      </c>
      <c r="B166" s="592"/>
      <c r="C166" s="592"/>
      <c r="D166" s="592"/>
      <c r="E166" s="592"/>
      <c r="F166" s="593"/>
      <c r="G166" s="5"/>
    </row>
    <row r="167" spans="1:9" x14ac:dyDescent="0.3">
      <c r="A167" s="285" t="s">
        <v>338</v>
      </c>
      <c r="B167" s="284"/>
      <c r="C167" s="168"/>
      <c r="D167" s="283">
        <v>100</v>
      </c>
      <c r="E167" s="282">
        <v>50</v>
      </c>
      <c r="F167" s="281">
        <f>E167*D167</f>
        <v>5000</v>
      </c>
      <c r="G167" s="280"/>
    </row>
    <row r="168" spans="1:9" ht="15" thickBot="1" x14ac:dyDescent="0.35">
      <c r="A168" s="416" t="s">
        <v>604</v>
      </c>
      <c r="B168" s="417"/>
      <c r="C168" s="418"/>
      <c r="D168" s="419">
        <v>4000</v>
      </c>
      <c r="E168" s="420">
        <v>38</v>
      </c>
      <c r="F168" s="421">
        <f>E168*D168</f>
        <v>152000</v>
      </c>
      <c r="G168" s="280"/>
    </row>
    <row r="169" spans="1:9" ht="16.2" thickBot="1" x14ac:dyDescent="0.35">
      <c r="A169" s="25" t="s">
        <v>82</v>
      </c>
      <c r="B169" s="290"/>
      <c r="C169" s="289"/>
      <c r="D169" s="288" t="s">
        <v>61</v>
      </c>
      <c r="E169" s="287" t="s">
        <v>61</v>
      </c>
      <c r="F169" s="422">
        <f>SUM(F167:F168)</f>
        <v>157000</v>
      </c>
      <c r="G169" s="276"/>
    </row>
    <row r="170" spans="1:9" ht="16.2" thickBot="1" x14ac:dyDescent="0.35">
      <c r="A170" s="279" t="s">
        <v>97</v>
      </c>
      <c r="B170" s="278"/>
      <c r="C170" s="278"/>
      <c r="D170" s="277" t="s">
        <v>61</v>
      </c>
      <c r="E170" s="277" t="s">
        <v>61</v>
      </c>
      <c r="F170" s="326">
        <f>SUM(F169,F165)</f>
        <v>2220624.149999999</v>
      </c>
      <c r="G170" s="276"/>
    </row>
    <row r="171" spans="1:9" x14ac:dyDescent="0.3">
      <c r="A171" s="5"/>
      <c r="B171" s="5"/>
      <c r="C171" s="5"/>
      <c r="D171" s="5"/>
      <c r="E171" s="5"/>
      <c r="F171" s="5"/>
      <c r="G171" s="5"/>
    </row>
  </sheetData>
  <mergeCells count="6">
    <mergeCell ref="A1:F1"/>
    <mergeCell ref="A4:F4"/>
    <mergeCell ref="A2:F2"/>
    <mergeCell ref="A3:F3"/>
    <mergeCell ref="A166:F166"/>
    <mergeCell ref="A7:F7"/>
  </mergeCells>
  <pageMargins left="0.7" right="0.7" top="0.75" bottom="0.75" header="0.3" footer="0.3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tabSelected="1" topLeftCell="B13" zoomScale="80" zoomScaleNormal="80" workbookViewId="0">
      <selection activeCell="C20" sqref="C20:C21"/>
    </sheetView>
  </sheetViews>
  <sheetFormatPr defaultRowHeight="14.4" x14ac:dyDescent="0.3"/>
  <cols>
    <col min="1" max="1" width="6.109375" style="10" hidden="1" customWidth="1"/>
    <col min="2" max="2" width="69.6640625" style="10" customWidth="1"/>
    <col min="3" max="4" width="9.44140625" style="10" customWidth="1"/>
    <col min="5" max="5" width="21" style="10" customWidth="1"/>
    <col min="6" max="6" width="11" style="10" customWidth="1"/>
    <col min="7" max="7" width="23.5546875" style="10" customWidth="1"/>
    <col min="8" max="9" width="18.6640625" style="10" hidden="1" customWidth="1"/>
    <col min="10" max="10" width="11.109375" style="10" customWidth="1"/>
    <col min="11" max="16384" width="8.88671875" style="10"/>
  </cols>
  <sheetData>
    <row r="1" spans="1:12" ht="31.2" customHeight="1" x14ac:dyDescent="0.3">
      <c r="A1" s="5"/>
      <c r="B1" s="523" t="s">
        <v>0</v>
      </c>
      <c r="C1" s="523"/>
      <c r="D1" s="523"/>
      <c r="E1" s="523"/>
      <c r="F1" s="523"/>
      <c r="G1" s="523"/>
      <c r="H1" s="350"/>
      <c r="I1" s="350"/>
    </row>
    <row r="2" spans="1:12" ht="15.6" x14ac:dyDescent="0.3">
      <c r="A2" s="5"/>
      <c r="B2" s="4"/>
      <c r="C2" s="4"/>
      <c r="D2" s="4"/>
      <c r="E2" s="4"/>
      <c r="F2" s="4"/>
      <c r="G2" s="4"/>
      <c r="H2" s="4"/>
      <c r="I2" s="4"/>
    </row>
    <row r="3" spans="1:12" ht="15.6" x14ac:dyDescent="0.3">
      <c r="A3" s="5"/>
      <c r="B3" s="524" t="s">
        <v>587</v>
      </c>
      <c r="C3" s="524"/>
      <c r="D3" s="524"/>
      <c r="E3" s="524"/>
      <c r="F3" s="524"/>
      <c r="G3" s="524"/>
      <c r="H3" s="349"/>
      <c r="I3" s="349"/>
    </row>
    <row r="4" spans="1:12" ht="15.6" x14ac:dyDescent="0.3">
      <c r="A4" s="5"/>
      <c r="B4" s="524" t="s">
        <v>329</v>
      </c>
      <c r="C4" s="524"/>
      <c r="D4" s="524"/>
      <c r="E4" s="524"/>
      <c r="F4" s="524"/>
      <c r="G4" s="524"/>
      <c r="H4" s="349"/>
      <c r="I4" s="349"/>
    </row>
    <row r="5" spans="1:12" ht="16.2" thickBot="1" x14ac:dyDescent="0.35">
      <c r="A5" s="5"/>
      <c r="B5" s="4"/>
      <c r="C5" s="4"/>
      <c r="D5" s="4"/>
      <c r="E5" s="4"/>
      <c r="F5" s="4"/>
      <c r="G5" s="4"/>
      <c r="H5" s="4"/>
      <c r="I5" s="4"/>
    </row>
    <row r="6" spans="1:12" ht="15.6" x14ac:dyDescent="0.3">
      <c r="A6" s="434" t="s">
        <v>328</v>
      </c>
      <c r="B6" s="533" t="s">
        <v>35</v>
      </c>
      <c r="C6" s="254" t="s">
        <v>327</v>
      </c>
      <c r="D6" s="533" t="s">
        <v>40</v>
      </c>
      <c r="E6" s="536" t="s">
        <v>2</v>
      </c>
      <c r="F6" s="537"/>
      <c r="G6" s="533" t="s">
        <v>1</v>
      </c>
      <c r="H6" s="251"/>
      <c r="I6" s="251"/>
    </row>
    <row r="7" spans="1:12" ht="15.6" x14ac:dyDescent="0.3">
      <c r="A7" s="435"/>
      <c r="B7" s="534"/>
      <c r="C7" s="253" t="s">
        <v>326</v>
      </c>
      <c r="D7" s="534"/>
      <c r="E7" s="538"/>
      <c r="F7" s="539"/>
      <c r="G7" s="534"/>
      <c r="H7" s="251"/>
      <c r="I7" s="251"/>
    </row>
    <row r="8" spans="1:12" ht="16.2" thickBot="1" x14ac:dyDescent="0.35">
      <c r="A8" s="436" t="s">
        <v>36</v>
      </c>
      <c r="B8" s="535"/>
      <c r="C8" s="252" t="s">
        <v>325</v>
      </c>
      <c r="D8" s="535"/>
      <c r="E8" s="540"/>
      <c r="F8" s="541"/>
      <c r="G8" s="535"/>
      <c r="H8" s="251"/>
      <c r="I8" s="251"/>
    </row>
    <row r="9" spans="1:12" ht="15.6" x14ac:dyDescent="0.3">
      <c r="A9" s="437">
        <v>100</v>
      </c>
      <c r="B9" s="444" t="s">
        <v>37</v>
      </c>
      <c r="C9" s="250"/>
      <c r="D9" s="250"/>
      <c r="E9" s="249"/>
      <c r="F9" s="248"/>
      <c r="G9" s="508">
        <v>6084142.4500000002</v>
      </c>
      <c r="H9" s="233"/>
      <c r="I9" s="233"/>
    </row>
    <row r="10" spans="1:12" ht="15.6" x14ac:dyDescent="0.3">
      <c r="A10" s="438"/>
      <c r="B10" s="445"/>
      <c r="C10" s="12"/>
      <c r="D10" s="12"/>
      <c r="E10" s="247"/>
      <c r="F10" s="246"/>
      <c r="G10" s="245"/>
      <c r="H10" s="233"/>
      <c r="I10" s="233"/>
    </row>
    <row r="11" spans="1:12" ht="15.6" x14ac:dyDescent="0.3">
      <c r="A11" s="438">
        <v>200</v>
      </c>
      <c r="B11" s="446" t="s">
        <v>324</v>
      </c>
      <c r="C11" s="7"/>
      <c r="D11" s="7"/>
      <c r="E11" s="13"/>
      <c r="F11" s="14"/>
      <c r="G11" s="234">
        <f>G12+G13</f>
        <v>43504123</v>
      </c>
      <c r="H11" s="233"/>
      <c r="I11" s="233"/>
    </row>
    <row r="12" spans="1:12" ht="15.6" x14ac:dyDescent="0.3">
      <c r="A12" s="438">
        <v>220</v>
      </c>
      <c r="B12" s="235" t="s">
        <v>248</v>
      </c>
      <c r="C12" s="6">
        <v>130</v>
      </c>
      <c r="D12" s="16"/>
      <c r="E12" s="386" t="s">
        <v>662</v>
      </c>
      <c r="F12" s="14">
        <v>12</v>
      </c>
      <c r="G12" s="236">
        <v>43400000</v>
      </c>
      <c r="H12" s="207"/>
      <c r="I12" s="207"/>
      <c r="J12" s="506"/>
      <c r="K12" s="506">
        <v>6.3E-2</v>
      </c>
      <c r="L12" s="10" t="s">
        <v>646</v>
      </c>
    </row>
    <row r="13" spans="1:12" ht="15.6" x14ac:dyDescent="0.3">
      <c r="A13" s="438">
        <v>240</v>
      </c>
      <c r="B13" s="447" t="s">
        <v>323</v>
      </c>
      <c r="C13" s="7">
        <v>180</v>
      </c>
      <c r="D13" s="18"/>
      <c r="E13" s="387">
        <v>6124.86</v>
      </c>
      <c r="F13" s="14">
        <v>17</v>
      </c>
      <c r="G13" s="236">
        <v>104123</v>
      </c>
      <c r="H13" s="207"/>
      <c r="I13" s="207"/>
    </row>
    <row r="14" spans="1:12" ht="15.6" x14ac:dyDescent="0.3">
      <c r="A14" s="438">
        <v>300</v>
      </c>
      <c r="B14" s="448" t="s">
        <v>41</v>
      </c>
      <c r="C14" s="6"/>
      <c r="D14" s="6"/>
      <c r="E14" s="13"/>
      <c r="F14" s="14"/>
      <c r="G14" s="501">
        <f>G16+G23+G73</f>
        <v>49588265.079999998</v>
      </c>
      <c r="H14" s="244">
        <f>G11-G14</f>
        <v>-6084142.0799999982</v>
      </c>
      <c r="I14" s="233"/>
    </row>
    <row r="15" spans="1:12" ht="15.6" x14ac:dyDescent="0.3">
      <c r="A15" s="438"/>
      <c r="B15" s="449"/>
      <c r="C15" s="16"/>
      <c r="D15" s="16"/>
      <c r="E15" s="13"/>
      <c r="F15" s="14"/>
      <c r="G15" s="503"/>
      <c r="H15" s="207"/>
      <c r="I15" s="207"/>
    </row>
    <row r="16" spans="1:12" ht="15.6" x14ac:dyDescent="0.3">
      <c r="A16" s="438">
        <v>310</v>
      </c>
      <c r="B16" s="446" t="s">
        <v>216</v>
      </c>
      <c r="C16" s="7">
        <v>100</v>
      </c>
      <c r="D16" s="7"/>
      <c r="E16" s="13"/>
      <c r="F16" s="14"/>
      <c r="G16" s="501">
        <f>G17+G20+G21+G22</f>
        <v>4030241.08</v>
      </c>
      <c r="H16" s="233"/>
      <c r="I16" s="233"/>
    </row>
    <row r="17" spans="1:9" ht="15.6" x14ac:dyDescent="0.3">
      <c r="A17" s="438">
        <v>311</v>
      </c>
      <c r="B17" s="450" t="s">
        <v>217</v>
      </c>
      <c r="C17" s="243">
        <v>111</v>
      </c>
      <c r="D17" s="243"/>
      <c r="E17" s="241"/>
      <c r="F17" s="242"/>
      <c r="G17" s="504">
        <f>G18+G19</f>
        <v>2984824.08</v>
      </c>
      <c r="H17" s="233"/>
      <c r="I17" s="233"/>
    </row>
    <row r="18" spans="1:9" ht="24" customHeight="1" x14ac:dyDescent="0.3">
      <c r="A18" s="438"/>
      <c r="B18" s="450" t="s">
        <v>249</v>
      </c>
      <c r="C18" s="243"/>
      <c r="D18" s="243">
        <v>211</v>
      </c>
      <c r="E18" s="241"/>
      <c r="F18" s="242"/>
      <c r="G18" s="502">
        <v>2934824.08</v>
      </c>
      <c r="H18" s="233"/>
      <c r="I18" s="233"/>
    </row>
    <row r="19" spans="1:9" ht="48.6" customHeight="1" x14ac:dyDescent="0.3">
      <c r="A19" s="439"/>
      <c r="B19" s="450" t="s">
        <v>572</v>
      </c>
      <c r="C19" s="243"/>
      <c r="D19" s="243">
        <v>266</v>
      </c>
      <c r="E19" s="241"/>
      <c r="F19" s="242"/>
      <c r="G19" s="356">
        <v>50000</v>
      </c>
      <c r="H19" s="233"/>
      <c r="I19" s="233"/>
    </row>
    <row r="20" spans="1:9" ht="19.2" customHeight="1" x14ac:dyDescent="0.3">
      <c r="A20" s="529">
        <v>312</v>
      </c>
      <c r="B20" s="451" t="s">
        <v>569</v>
      </c>
      <c r="C20" s="531">
        <v>112</v>
      </c>
      <c r="D20" s="255">
        <v>212</v>
      </c>
      <c r="E20" s="241">
        <v>300</v>
      </c>
      <c r="F20" s="242">
        <v>30</v>
      </c>
      <c r="G20" s="341">
        <f>F20*E20</f>
        <v>9000</v>
      </c>
      <c r="H20" s="233"/>
      <c r="I20" s="233"/>
    </row>
    <row r="21" spans="1:9" ht="25.8" customHeight="1" x14ac:dyDescent="0.3">
      <c r="A21" s="530"/>
      <c r="B21" s="452" t="s">
        <v>575</v>
      </c>
      <c r="C21" s="532"/>
      <c r="D21" s="327">
        <v>226</v>
      </c>
      <c r="E21" s="328">
        <v>4500</v>
      </c>
      <c r="F21" s="242">
        <v>30</v>
      </c>
      <c r="G21" s="341">
        <f>F21*E21</f>
        <v>135000</v>
      </c>
      <c r="H21" s="233"/>
      <c r="I21" s="233"/>
    </row>
    <row r="22" spans="1:9" ht="33" customHeight="1" x14ac:dyDescent="0.3">
      <c r="A22" s="439">
        <v>313</v>
      </c>
      <c r="B22" s="453" t="s">
        <v>218</v>
      </c>
      <c r="C22" s="329">
        <v>119</v>
      </c>
      <c r="D22" s="329">
        <v>213</v>
      </c>
      <c r="E22" s="241">
        <v>2984824</v>
      </c>
      <c r="F22" s="240">
        <v>30.2</v>
      </c>
      <c r="G22" s="341">
        <v>901417</v>
      </c>
      <c r="H22" s="233"/>
      <c r="I22" s="233"/>
    </row>
    <row r="23" spans="1:9" ht="15.6" x14ac:dyDescent="0.3">
      <c r="A23" s="438">
        <v>320</v>
      </c>
      <c r="B23" s="448" t="s">
        <v>219</v>
      </c>
      <c r="C23" s="6">
        <v>200</v>
      </c>
      <c r="D23" s="6"/>
      <c r="E23" s="19"/>
      <c r="F23" s="20"/>
      <c r="G23" s="234">
        <f>G24+G35+G69</f>
        <v>42832689</v>
      </c>
      <c r="H23" s="233"/>
      <c r="I23" s="233"/>
    </row>
    <row r="24" spans="1:9" ht="31.2" x14ac:dyDescent="0.3">
      <c r="A24" s="438">
        <v>321</v>
      </c>
      <c r="B24" s="446" t="s">
        <v>322</v>
      </c>
      <c r="C24" s="6">
        <v>243</v>
      </c>
      <c r="D24" s="6"/>
      <c r="E24" s="19"/>
      <c r="F24" s="20"/>
      <c r="G24" s="234">
        <f>G25+G31</f>
        <v>4325342</v>
      </c>
      <c r="H24" s="233"/>
      <c r="I24" s="233"/>
    </row>
    <row r="25" spans="1:9" ht="15.6" x14ac:dyDescent="0.3">
      <c r="A25" s="438"/>
      <c r="B25" s="454" t="s">
        <v>321</v>
      </c>
      <c r="C25" s="239"/>
      <c r="D25" s="239">
        <v>225</v>
      </c>
      <c r="E25" s="238"/>
      <c r="F25" s="237"/>
      <c r="G25" s="234">
        <f>G26+G27+G28+G29+G30</f>
        <v>4129342</v>
      </c>
      <c r="H25" s="233"/>
      <c r="I25" s="233"/>
    </row>
    <row r="26" spans="1:9" ht="31.2" x14ac:dyDescent="0.3">
      <c r="A26" s="438"/>
      <c r="B26" s="477" t="s">
        <v>602</v>
      </c>
      <c r="C26" s="239"/>
      <c r="D26" s="239"/>
      <c r="E26" s="238"/>
      <c r="F26" s="237"/>
      <c r="G26" s="236">
        <v>2011925</v>
      </c>
      <c r="H26" s="207"/>
      <c r="I26" s="207"/>
    </row>
    <row r="27" spans="1:9" ht="31.2" x14ac:dyDescent="0.3">
      <c r="A27" s="438"/>
      <c r="B27" s="518" t="s">
        <v>603</v>
      </c>
      <c r="C27" s="519"/>
      <c r="D27" s="519"/>
      <c r="E27" s="520"/>
      <c r="F27" s="521"/>
      <c r="G27" s="522">
        <v>600000</v>
      </c>
      <c r="H27" s="207"/>
      <c r="I27" s="207"/>
    </row>
    <row r="28" spans="1:9" ht="15.6" x14ac:dyDescent="0.3">
      <c r="A28" s="438"/>
      <c r="B28" s="477" t="s">
        <v>661</v>
      </c>
      <c r="C28" s="239"/>
      <c r="D28" s="239"/>
      <c r="E28" s="238"/>
      <c r="F28" s="237"/>
      <c r="G28" s="236">
        <v>1261511</v>
      </c>
      <c r="H28" s="207"/>
      <c r="I28" s="207"/>
    </row>
    <row r="29" spans="1:9" ht="31.2" x14ac:dyDescent="0.3">
      <c r="A29" s="438"/>
      <c r="B29" s="477" t="s">
        <v>660</v>
      </c>
      <c r="C29" s="239"/>
      <c r="D29" s="239"/>
      <c r="E29" s="238"/>
      <c r="F29" s="237"/>
      <c r="G29" s="236">
        <v>73662</v>
      </c>
      <c r="H29" s="207"/>
      <c r="I29" s="207"/>
    </row>
    <row r="30" spans="1:9" ht="15.6" x14ac:dyDescent="0.3">
      <c r="A30" s="438"/>
      <c r="B30" s="477" t="s">
        <v>659</v>
      </c>
      <c r="C30" s="239"/>
      <c r="D30" s="239"/>
      <c r="E30" s="238"/>
      <c r="F30" s="237"/>
      <c r="G30" s="236">
        <v>182244</v>
      </c>
      <c r="H30" s="207"/>
      <c r="I30" s="207"/>
    </row>
    <row r="31" spans="1:9" ht="15.6" x14ac:dyDescent="0.3">
      <c r="A31" s="438"/>
      <c r="B31" s="448" t="s">
        <v>320</v>
      </c>
      <c r="C31" s="6"/>
      <c r="D31" s="6">
        <v>226</v>
      </c>
      <c r="E31" s="19"/>
      <c r="F31" s="20"/>
      <c r="G31" s="234">
        <f>G32+G33+G34</f>
        <v>196000</v>
      </c>
      <c r="H31" s="233"/>
      <c r="I31" s="233"/>
    </row>
    <row r="32" spans="1:9" ht="15.6" x14ac:dyDescent="0.3">
      <c r="A32" s="438"/>
      <c r="B32" s="477" t="s">
        <v>319</v>
      </c>
      <c r="C32" s="478"/>
      <c r="D32" s="478"/>
      <c r="E32" s="479">
        <v>14000</v>
      </c>
      <c r="F32" s="480">
        <v>4</v>
      </c>
      <c r="G32" s="236">
        <f>E32*F32</f>
        <v>56000</v>
      </c>
      <c r="H32" s="207"/>
      <c r="I32" s="207"/>
    </row>
    <row r="33" spans="1:9" ht="15.6" x14ac:dyDescent="0.3">
      <c r="A33" s="438"/>
      <c r="B33" s="477" t="s">
        <v>318</v>
      </c>
      <c r="C33" s="478"/>
      <c r="D33" s="478"/>
      <c r="E33" s="479">
        <v>25000</v>
      </c>
      <c r="F33" s="480">
        <v>4</v>
      </c>
      <c r="G33" s="236">
        <f>E33*F33</f>
        <v>100000</v>
      </c>
      <c r="H33" s="207"/>
      <c r="I33" s="207"/>
    </row>
    <row r="34" spans="1:9" ht="31.2" x14ac:dyDescent="0.3">
      <c r="A34" s="438"/>
      <c r="B34" s="477" t="s">
        <v>317</v>
      </c>
      <c r="C34" s="478"/>
      <c r="D34" s="478"/>
      <c r="E34" s="479">
        <v>10000</v>
      </c>
      <c r="F34" s="480">
        <v>4</v>
      </c>
      <c r="G34" s="236">
        <f>E34*F34</f>
        <v>40000</v>
      </c>
      <c r="H34" s="207"/>
      <c r="I34" s="207"/>
    </row>
    <row r="35" spans="1:9" ht="15.6" x14ac:dyDescent="0.3">
      <c r="A35" s="438">
        <v>322</v>
      </c>
      <c r="B35" s="446" t="s">
        <v>220</v>
      </c>
      <c r="C35" s="7">
        <v>244</v>
      </c>
      <c r="D35" s="18"/>
      <c r="E35" s="13"/>
      <c r="F35" s="14"/>
      <c r="G35" s="234">
        <f>G36+G38+G41+G46+G49+G51+G53+G55</f>
        <v>27306049</v>
      </c>
      <c r="H35" s="233"/>
      <c r="I35" s="233"/>
    </row>
    <row r="36" spans="1:9" ht="15.6" x14ac:dyDescent="0.3">
      <c r="A36" s="438"/>
      <c r="B36" s="446" t="s">
        <v>316</v>
      </c>
      <c r="C36" s="7"/>
      <c r="D36" s="7">
        <v>221</v>
      </c>
      <c r="E36" s="13"/>
      <c r="F36" s="14"/>
      <c r="G36" s="234">
        <v>182800</v>
      </c>
      <c r="H36" s="233"/>
      <c r="I36" s="233"/>
    </row>
    <row r="37" spans="1:9" ht="15.6" x14ac:dyDescent="0.3">
      <c r="A37" s="438"/>
      <c r="B37" s="56" t="s">
        <v>315</v>
      </c>
      <c r="C37" s="7"/>
      <c r="D37" s="18"/>
      <c r="E37" s="13"/>
      <c r="F37" s="14"/>
      <c r="G37" s="234"/>
      <c r="H37" s="233"/>
      <c r="I37" s="233"/>
    </row>
    <row r="38" spans="1:9" ht="15.6" x14ac:dyDescent="0.3">
      <c r="A38" s="438"/>
      <c r="B38" s="446" t="s">
        <v>314</v>
      </c>
      <c r="C38" s="7"/>
      <c r="D38" s="7">
        <v>223</v>
      </c>
      <c r="E38" s="13"/>
      <c r="F38" s="14"/>
      <c r="G38" s="234">
        <f>G39</f>
        <v>1409598</v>
      </c>
      <c r="H38" s="233"/>
      <c r="I38" s="233"/>
    </row>
    <row r="39" spans="1:9" ht="15.6" x14ac:dyDescent="0.3">
      <c r="A39" s="438"/>
      <c r="B39" s="56" t="s">
        <v>311</v>
      </c>
      <c r="C39" s="7"/>
      <c r="D39" s="18"/>
      <c r="E39" s="13"/>
      <c r="F39" s="14"/>
      <c r="G39" s="234">
        <v>1409598</v>
      </c>
      <c r="H39" s="233"/>
      <c r="I39" s="233"/>
    </row>
    <row r="40" spans="1:9" ht="15.6" x14ac:dyDescent="0.3">
      <c r="A40" s="438"/>
      <c r="B40" s="447" t="s">
        <v>310</v>
      </c>
      <c r="C40" s="7"/>
      <c r="D40" s="18"/>
      <c r="E40" s="13"/>
      <c r="F40" s="14"/>
      <c r="G40" s="234"/>
      <c r="H40" s="233"/>
      <c r="I40" s="233"/>
    </row>
    <row r="41" spans="1:9" ht="15.6" x14ac:dyDescent="0.3">
      <c r="A41" s="438"/>
      <c r="B41" s="448" t="s">
        <v>309</v>
      </c>
      <c r="C41" s="6"/>
      <c r="D41" s="6">
        <v>225</v>
      </c>
      <c r="E41" s="13"/>
      <c r="F41" s="14"/>
      <c r="G41" s="234">
        <f>G42+G44</f>
        <v>3055032</v>
      </c>
      <c r="H41" s="233"/>
      <c r="I41" s="233"/>
    </row>
    <row r="42" spans="1:9" ht="15.6" x14ac:dyDescent="0.3">
      <c r="A42" s="438"/>
      <c r="B42" s="455" t="s">
        <v>288</v>
      </c>
      <c r="C42" s="6"/>
      <c r="D42" s="6"/>
      <c r="E42" s="13"/>
      <c r="F42" s="14"/>
      <c r="G42" s="234">
        <v>2615295</v>
      </c>
      <c r="H42" s="233"/>
      <c r="I42" s="233"/>
    </row>
    <row r="43" spans="1:9" ht="15.6" x14ac:dyDescent="0.3">
      <c r="A43" s="438"/>
      <c r="B43" s="235" t="s">
        <v>308</v>
      </c>
      <c r="C43" s="16"/>
      <c r="D43" s="16"/>
      <c r="E43" s="13"/>
      <c r="F43" s="14"/>
      <c r="G43" s="236"/>
      <c r="H43" s="207"/>
      <c r="I43" s="207"/>
    </row>
    <row r="44" spans="1:9" ht="15.6" x14ac:dyDescent="0.3">
      <c r="A44" s="438"/>
      <c r="B44" s="455" t="s">
        <v>287</v>
      </c>
      <c r="C44" s="6"/>
      <c r="D44" s="6"/>
      <c r="E44" s="13"/>
      <c r="F44" s="14"/>
      <c r="G44" s="234">
        <v>439737</v>
      </c>
      <c r="H44" s="233"/>
      <c r="I44" s="233"/>
    </row>
    <row r="45" spans="1:9" ht="15.6" x14ac:dyDescent="0.3">
      <c r="A45" s="438"/>
      <c r="B45" s="235" t="s">
        <v>308</v>
      </c>
      <c r="C45" s="16"/>
      <c r="D45" s="16"/>
      <c r="E45" s="13"/>
      <c r="F45" s="14"/>
      <c r="G45" s="236"/>
      <c r="H45" s="207"/>
      <c r="I45" s="207"/>
    </row>
    <row r="46" spans="1:9" ht="15.6" x14ac:dyDescent="0.3">
      <c r="A46" s="438"/>
      <c r="B46" s="448" t="s">
        <v>307</v>
      </c>
      <c r="C46" s="6"/>
      <c r="D46" s="6">
        <v>226</v>
      </c>
      <c r="E46" s="13"/>
      <c r="F46" s="14"/>
      <c r="G46" s="234">
        <f>G47</f>
        <v>2589747</v>
      </c>
      <c r="H46" s="233"/>
      <c r="I46" s="233"/>
    </row>
    <row r="47" spans="1:9" ht="15.6" x14ac:dyDescent="0.3">
      <c r="A47" s="438"/>
      <c r="B47" s="455" t="s">
        <v>288</v>
      </c>
      <c r="C47" s="6"/>
      <c r="D47" s="6"/>
      <c r="E47" s="13"/>
      <c r="F47" s="14"/>
      <c r="G47" s="234">
        <v>2589747</v>
      </c>
      <c r="H47" s="233"/>
      <c r="I47" s="233"/>
    </row>
    <row r="48" spans="1:9" ht="15.6" x14ac:dyDescent="0.3">
      <c r="A48" s="438"/>
      <c r="B48" s="56" t="s">
        <v>306</v>
      </c>
      <c r="C48" s="18"/>
      <c r="D48" s="18"/>
      <c r="E48" s="13"/>
      <c r="F48" s="14"/>
      <c r="G48" s="236"/>
      <c r="H48" s="207"/>
      <c r="I48" s="207"/>
    </row>
    <row r="49" spans="1:15" ht="15.6" x14ac:dyDescent="0.3">
      <c r="A49" s="438"/>
      <c r="B49" s="456" t="s">
        <v>305</v>
      </c>
      <c r="C49" s="18"/>
      <c r="D49" s="7">
        <v>227</v>
      </c>
      <c r="E49" s="13"/>
      <c r="F49" s="14"/>
      <c r="G49" s="234">
        <v>42500</v>
      </c>
      <c r="H49" s="233"/>
      <c r="I49" s="233"/>
    </row>
    <row r="50" spans="1:15" ht="15.6" x14ac:dyDescent="0.3">
      <c r="A50" s="438"/>
      <c r="B50" s="56" t="s">
        <v>304</v>
      </c>
      <c r="C50" s="18"/>
      <c r="D50" s="18"/>
      <c r="E50" s="13"/>
      <c r="F50" s="14"/>
      <c r="G50" s="236"/>
      <c r="H50" s="207"/>
      <c r="I50" s="207"/>
    </row>
    <row r="51" spans="1:15" ht="15.6" x14ac:dyDescent="0.3">
      <c r="A51" s="438"/>
      <c r="B51" s="457" t="s">
        <v>303</v>
      </c>
      <c r="C51" s="18"/>
      <c r="D51" s="7">
        <v>228</v>
      </c>
      <c r="E51" s="13"/>
      <c r="F51" s="14"/>
      <c r="G51" s="234">
        <v>300000</v>
      </c>
      <c r="H51" s="207"/>
      <c r="I51" s="207"/>
    </row>
    <row r="52" spans="1:15" ht="15.6" x14ac:dyDescent="0.3">
      <c r="A52" s="438"/>
      <c r="B52" s="458" t="s">
        <v>302</v>
      </c>
      <c r="C52" s="18"/>
      <c r="D52" s="7"/>
      <c r="E52" s="13"/>
      <c r="F52" s="14"/>
      <c r="G52" s="236"/>
      <c r="H52" s="207"/>
      <c r="I52" s="207"/>
    </row>
    <row r="53" spans="1:15" ht="15.6" x14ac:dyDescent="0.3">
      <c r="A53" s="438"/>
      <c r="B53" s="448" t="s">
        <v>301</v>
      </c>
      <c r="C53" s="6"/>
      <c r="D53" s="6">
        <v>310</v>
      </c>
      <c r="E53" s="19"/>
      <c r="F53" s="20"/>
      <c r="G53" s="234">
        <v>3395004</v>
      </c>
      <c r="H53" s="233"/>
      <c r="I53" s="233"/>
    </row>
    <row r="54" spans="1:15" ht="15.6" x14ac:dyDescent="0.3">
      <c r="A54" s="438"/>
      <c r="B54" s="447" t="s">
        <v>300</v>
      </c>
      <c r="C54" s="7"/>
      <c r="D54" s="7"/>
      <c r="E54" s="13"/>
      <c r="F54" s="14"/>
      <c r="G54" s="236"/>
      <c r="H54" s="207"/>
      <c r="I54" s="207"/>
    </row>
    <row r="55" spans="1:15" ht="15.6" x14ac:dyDescent="0.3">
      <c r="A55" s="438"/>
      <c r="B55" s="448" t="s">
        <v>299</v>
      </c>
      <c r="C55" s="6"/>
      <c r="D55" s="6">
        <v>340</v>
      </c>
      <c r="E55" s="19"/>
      <c r="F55" s="20"/>
      <c r="G55" s="234">
        <f>G56+G58+G60+G62+G64+G57</f>
        <v>16331368</v>
      </c>
      <c r="H55" s="233"/>
      <c r="I55" s="233"/>
    </row>
    <row r="56" spans="1:15" ht="31.2" x14ac:dyDescent="0.3">
      <c r="A56" s="438"/>
      <c r="B56" s="459" t="s">
        <v>298</v>
      </c>
      <c r="C56" s="6"/>
      <c r="D56" s="6">
        <v>341</v>
      </c>
      <c r="E56" s="19"/>
      <c r="F56" s="20"/>
      <c r="G56" s="234">
        <v>2500232</v>
      </c>
      <c r="H56" s="233"/>
      <c r="I56" s="207" t="s">
        <v>297</v>
      </c>
      <c r="J56" s="232"/>
      <c r="K56" s="5"/>
      <c r="L56" s="5"/>
      <c r="M56" s="5"/>
      <c r="N56" s="5"/>
      <c r="O56" s="5"/>
    </row>
    <row r="57" spans="1:15" ht="31.2" x14ac:dyDescent="0.3">
      <c r="A57" s="438"/>
      <c r="B57" s="459" t="s">
        <v>657</v>
      </c>
      <c r="C57" s="6"/>
      <c r="D57" s="6">
        <v>342</v>
      </c>
      <c r="E57" s="19"/>
      <c r="F57" s="20"/>
      <c r="G57" s="507">
        <v>9137447</v>
      </c>
      <c r="H57" s="233"/>
      <c r="I57" s="207" t="s">
        <v>296</v>
      </c>
      <c r="J57" s="5"/>
      <c r="K57" s="5"/>
      <c r="L57" s="5"/>
      <c r="M57" s="5"/>
      <c r="N57" s="5"/>
      <c r="O57" s="5"/>
    </row>
    <row r="58" spans="1:15" ht="15.6" x14ac:dyDescent="0.3">
      <c r="A58" s="438"/>
      <c r="B58" s="455" t="s">
        <v>295</v>
      </c>
      <c r="C58" s="6"/>
      <c r="D58" s="6">
        <v>343</v>
      </c>
      <c r="E58" s="13"/>
      <c r="F58" s="14"/>
      <c r="G58" s="234">
        <v>373065</v>
      </c>
      <c r="H58" s="233"/>
      <c r="I58" s="215" t="s">
        <v>280</v>
      </c>
      <c r="J58" s="5"/>
      <c r="K58" s="5"/>
      <c r="L58" s="5"/>
      <c r="M58" s="5"/>
      <c r="N58" s="5"/>
      <c r="O58" s="5"/>
    </row>
    <row r="59" spans="1:15" ht="15.6" x14ac:dyDescent="0.3">
      <c r="A59" s="438"/>
      <c r="B59" s="447" t="s">
        <v>294</v>
      </c>
      <c r="C59" s="16"/>
      <c r="D59" s="16"/>
      <c r="E59" s="13"/>
      <c r="F59" s="14"/>
      <c r="G59" s="236"/>
      <c r="H59" s="207"/>
      <c r="I59" s="207"/>
      <c r="J59" s="5"/>
      <c r="K59" s="5"/>
      <c r="L59" s="5"/>
      <c r="M59" s="5"/>
      <c r="N59" s="5"/>
      <c r="O59" s="5"/>
    </row>
    <row r="60" spans="1:15" ht="15.6" x14ac:dyDescent="0.3">
      <c r="A60" s="438"/>
      <c r="B60" s="455" t="s">
        <v>293</v>
      </c>
      <c r="C60" s="16"/>
      <c r="D60" s="6">
        <v>344</v>
      </c>
      <c r="E60" s="13"/>
      <c r="F60" s="14"/>
      <c r="G60" s="234">
        <v>100000</v>
      </c>
      <c r="H60" s="233"/>
      <c r="I60" s="215" t="s">
        <v>280</v>
      </c>
      <c r="J60" s="232"/>
      <c r="K60" s="5"/>
      <c r="L60" s="5"/>
      <c r="M60" s="5"/>
      <c r="N60" s="5"/>
      <c r="O60" s="5"/>
    </row>
    <row r="61" spans="1:15" ht="15.6" x14ac:dyDescent="0.3">
      <c r="A61" s="438"/>
      <c r="B61" s="447" t="s">
        <v>292</v>
      </c>
      <c r="C61" s="16"/>
      <c r="D61" s="16"/>
      <c r="E61" s="13"/>
      <c r="F61" s="14"/>
      <c r="G61" s="236"/>
      <c r="H61" s="207"/>
      <c r="I61" s="207"/>
      <c r="J61" s="5"/>
      <c r="K61" s="5"/>
      <c r="L61" s="5"/>
      <c r="M61" s="5"/>
      <c r="N61" s="5"/>
      <c r="O61" s="5"/>
    </row>
    <row r="62" spans="1:15" ht="15.6" x14ac:dyDescent="0.3">
      <c r="A62" s="438"/>
      <c r="B62" s="459" t="s">
        <v>291</v>
      </c>
      <c r="C62" s="16"/>
      <c r="D62" s="6">
        <v>345</v>
      </c>
      <c r="E62" s="13"/>
      <c r="F62" s="14"/>
      <c r="G62" s="234">
        <v>2000000</v>
      </c>
      <c r="H62" s="207"/>
      <c r="I62" s="207"/>
      <c r="J62" s="5"/>
      <c r="K62" s="5"/>
      <c r="L62" s="5"/>
      <c r="M62" s="5"/>
      <c r="N62" s="5"/>
      <c r="O62" s="5"/>
    </row>
    <row r="63" spans="1:15" ht="15.6" x14ac:dyDescent="0.3">
      <c r="A63" s="438"/>
      <c r="B63" s="447" t="s">
        <v>290</v>
      </c>
      <c r="C63" s="16"/>
      <c r="D63" s="16"/>
      <c r="E63" s="13"/>
      <c r="F63" s="14"/>
      <c r="G63" s="236"/>
      <c r="H63" s="207"/>
      <c r="I63" s="207"/>
      <c r="J63" s="5"/>
      <c r="K63" s="5"/>
      <c r="L63" s="5"/>
      <c r="M63" s="5"/>
      <c r="N63" s="5"/>
      <c r="O63" s="5"/>
    </row>
    <row r="64" spans="1:15" ht="15.6" x14ac:dyDescent="0.3">
      <c r="A64" s="438"/>
      <c r="B64" s="455" t="s">
        <v>289</v>
      </c>
      <c r="C64" s="16"/>
      <c r="D64" s="6">
        <v>346</v>
      </c>
      <c r="E64" s="13"/>
      <c r="F64" s="14"/>
      <c r="G64" s="234">
        <f>G65+G67</f>
        <v>2220624</v>
      </c>
      <c r="H64" s="233"/>
      <c r="I64" s="215" t="s">
        <v>280</v>
      </c>
      <c r="J64" s="232"/>
      <c r="K64" s="5"/>
      <c r="L64" s="232"/>
      <c r="M64" s="5"/>
      <c r="N64" s="232"/>
      <c r="O64" s="5"/>
    </row>
    <row r="65" spans="1:15" ht="15.6" x14ac:dyDescent="0.3">
      <c r="A65" s="438"/>
      <c r="B65" s="455" t="s">
        <v>288</v>
      </c>
      <c r="C65" s="16"/>
      <c r="D65" s="6"/>
      <c r="E65" s="13"/>
      <c r="F65" s="14"/>
      <c r="G65" s="234">
        <v>2063624</v>
      </c>
      <c r="H65" s="233"/>
      <c r="I65" s="215"/>
      <c r="J65" s="232"/>
      <c r="K65" s="5"/>
      <c r="L65" s="232"/>
      <c r="M65" s="5"/>
      <c r="N65" s="232"/>
      <c r="O65" s="5"/>
    </row>
    <row r="66" spans="1:15" ht="15.6" x14ac:dyDescent="0.3">
      <c r="A66" s="440"/>
      <c r="B66" s="447" t="s">
        <v>286</v>
      </c>
      <c r="C66" s="231"/>
      <c r="D66" s="230"/>
      <c r="E66" s="229"/>
      <c r="F66" s="224"/>
      <c r="G66" s="342"/>
      <c r="H66" s="215"/>
      <c r="I66" s="215"/>
      <c r="J66" s="5"/>
      <c r="K66" s="5"/>
      <c r="L66" s="5"/>
      <c r="M66" s="5"/>
      <c r="N66" s="5"/>
      <c r="O66" s="5"/>
    </row>
    <row r="67" spans="1:15" ht="15.6" x14ac:dyDescent="0.3">
      <c r="A67" s="441"/>
      <c r="B67" s="460" t="s">
        <v>287</v>
      </c>
      <c r="C67" s="228"/>
      <c r="D67" s="227"/>
      <c r="E67" s="222"/>
      <c r="F67" s="221"/>
      <c r="G67" s="343">
        <v>157000</v>
      </c>
      <c r="H67" s="216"/>
      <c r="I67" s="215"/>
    </row>
    <row r="68" spans="1:15" ht="15.6" x14ac:dyDescent="0.3">
      <c r="A68" s="441"/>
      <c r="B68" s="447" t="s">
        <v>286</v>
      </c>
      <c r="C68" s="228"/>
      <c r="D68" s="227"/>
      <c r="E68" s="222"/>
      <c r="F68" s="221"/>
      <c r="G68" s="344"/>
      <c r="H68" s="215"/>
      <c r="I68" s="215"/>
    </row>
    <row r="69" spans="1:15" ht="15.6" x14ac:dyDescent="0.3">
      <c r="A69" s="441"/>
      <c r="B69" s="462" t="s">
        <v>649</v>
      </c>
      <c r="C69" s="220">
        <v>247</v>
      </c>
      <c r="D69" s="227"/>
      <c r="E69" s="222"/>
      <c r="F69" s="221"/>
      <c r="G69" s="511">
        <f>G70+G71</f>
        <v>11201298</v>
      </c>
      <c r="H69" s="215"/>
      <c r="I69" s="215"/>
    </row>
    <row r="70" spans="1:15" ht="15.6" x14ac:dyDescent="0.3">
      <c r="A70" s="441"/>
      <c r="B70" s="56" t="s">
        <v>313</v>
      </c>
      <c r="C70" s="7"/>
      <c r="D70" s="7">
        <v>223</v>
      </c>
      <c r="E70" s="13"/>
      <c r="F70" s="14"/>
      <c r="G70" s="234">
        <v>6157350</v>
      </c>
      <c r="H70" s="215"/>
      <c r="I70" s="215"/>
    </row>
    <row r="71" spans="1:15" ht="15.6" x14ac:dyDescent="0.3">
      <c r="A71" s="441"/>
      <c r="B71" s="56" t="s">
        <v>312</v>
      </c>
      <c r="C71" s="7"/>
      <c r="D71" s="7">
        <v>223</v>
      </c>
      <c r="E71" s="13"/>
      <c r="F71" s="14"/>
      <c r="G71" s="234">
        <v>5043948</v>
      </c>
      <c r="H71" s="215"/>
      <c r="I71" s="215"/>
    </row>
    <row r="72" spans="1:15" ht="15.6" x14ac:dyDescent="0.3">
      <c r="A72" s="441"/>
      <c r="B72" s="512" t="s">
        <v>281</v>
      </c>
      <c r="C72" s="513"/>
      <c r="D72" s="514"/>
      <c r="E72" s="515"/>
      <c r="F72" s="516"/>
      <c r="G72" s="517"/>
      <c r="H72" s="215"/>
      <c r="I72" s="215"/>
    </row>
    <row r="73" spans="1:15" ht="15.6" x14ac:dyDescent="0.3">
      <c r="A73" s="442">
        <v>340</v>
      </c>
      <c r="B73" s="462" t="s">
        <v>285</v>
      </c>
      <c r="C73" s="220">
        <v>800</v>
      </c>
      <c r="D73" s="226"/>
      <c r="E73" s="218"/>
      <c r="F73" s="217"/>
      <c r="G73" s="225">
        <f>G74+G76+G78</f>
        <v>2725335</v>
      </c>
      <c r="H73" s="216"/>
      <c r="I73" s="216"/>
    </row>
    <row r="74" spans="1:15" ht="15.6" x14ac:dyDescent="0.3">
      <c r="A74" s="442">
        <v>342</v>
      </c>
      <c r="B74" s="462" t="s">
        <v>284</v>
      </c>
      <c r="C74" s="220">
        <v>851</v>
      </c>
      <c r="D74" s="219">
        <v>291</v>
      </c>
      <c r="E74" s="222"/>
      <c r="F74" s="221"/>
      <c r="G74" s="225">
        <v>2573276</v>
      </c>
      <c r="H74" s="216"/>
      <c r="I74" s="216"/>
    </row>
    <row r="75" spans="1:15" ht="15.6" x14ac:dyDescent="0.3">
      <c r="A75" s="442"/>
      <c r="B75" s="461" t="s">
        <v>653</v>
      </c>
      <c r="C75" s="220"/>
      <c r="D75" s="219"/>
      <c r="E75" s="222"/>
      <c r="F75" s="221"/>
      <c r="G75" s="225"/>
      <c r="H75" s="216"/>
      <c r="I75" s="216"/>
    </row>
    <row r="76" spans="1:15" ht="15.6" x14ac:dyDescent="0.3">
      <c r="A76" s="442">
        <v>343</v>
      </c>
      <c r="B76" s="462" t="s">
        <v>283</v>
      </c>
      <c r="C76" s="220">
        <v>852</v>
      </c>
      <c r="D76" s="219">
        <v>291</v>
      </c>
      <c r="E76" s="218"/>
      <c r="F76" s="217"/>
      <c r="G76" s="225">
        <v>34891</v>
      </c>
      <c r="H76" s="216"/>
      <c r="I76" s="215" t="s">
        <v>280</v>
      </c>
    </row>
    <row r="77" spans="1:15" ht="15.6" x14ac:dyDescent="0.3">
      <c r="A77" s="442"/>
      <c r="B77" s="461" t="s">
        <v>653</v>
      </c>
      <c r="C77" s="220"/>
      <c r="D77" s="219"/>
      <c r="E77" s="218"/>
      <c r="F77" s="217"/>
      <c r="G77" s="345"/>
      <c r="H77" s="215"/>
      <c r="I77" s="215"/>
    </row>
    <row r="78" spans="1:15" ht="15.6" x14ac:dyDescent="0.3">
      <c r="A78" s="442">
        <v>344</v>
      </c>
      <c r="B78" s="462" t="s">
        <v>282</v>
      </c>
      <c r="C78" s="220">
        <v>853</v>
      </c>
      <c r="D78" s="219"/>
      <c r="E78" s="222"/>
      <c r="F78" s="224"/>
      <c r="G78" s="346">
        <f>SUM(G79:G80)</f>
        <v>117168</v>
      </c>
      <c r="H78" s="223"/>
      <c r="I78" s="223"/>
    </row>
    <row r="79" spans="1:15" ht="15.6" x14ac:dyDescent="0.3">
      <c r="A79" s="442"/>
      <c r="B79" s="461" t="s">
        <v>653</v>
      </c>
      <c r="C79" s="220"/>
      <c r="D79" s="219">
        <v>291</v>
      </c>
      <c r="E79" s="222"/>
      <c r="F79" s="221"/>
      <c r="G79" s="347">
        <v>67168</v>
      </c>
      <c r="H79" s="216"/>
      <c r="I79" s="215" t="s">
        <v>280</v>
      </c>
    </row>
    <row r="80" spans="1:15" ht="15.6" x14ac:dyDescent="0.3">
      <c r="A80" s="442"/>
      <c r="B80" s="461" t="s">
        <v>653</v>
      </c>
      <c r="C80" s="220"/>
      <c r="D80" s="219">
        <v>292</v>
      </c>
      <c r="E80" s="218"/>
      <c r="F80" s="217"/>
      <c r="G80" s="225">
        <v>50000</v>
      </c>
      <c r="H80" s="216"/>
      <c r="I80" s="215" t="s">
        <v>280</v>
      </c>
    </row>
    <row r="81" spans="1:9" ht="16.2" thickBot="1" x14ac:dyDescent="0.35">
      <c r="A81" s="443"/>
      <c r="B81" s="463"/>
      <c r="C81" s="214"/>
      <c r="D81" s="214"/>
      <c r="E81" s="213"/>
      <c r="F81" s="212"/>
      <c r="G81" s="348"/>
      <c r="H81" s="207"/>
      <c r="I81" s="207"/>
    </row>
    <row r="82" spans="1:9" ht="15.6" x14ac:dyDescent="0.3">
      <c r="A82" s="208"/>
      <c r="B82" s="211"/>
      <c r="C82" s="210"/>
      <c r="D82" s="210"/>
      <c r="E82" s="209"/>
      <c r="F82" s="208"/>
      <c r="G82" s="492">
        <f>(G11+G9)-G14</f>
        <v>0.37000000476837158</v>
      </c>
      <c r="H82" s="207"/>
      <c r="I82" s="207"/>
    </row>
    <row r="83" spans="1:9" x14ac:dyDescent="0.3">
      <c r="A83" s="5"/>
      <c r="B83" s="5"/>
      <c r="C83" s="5"/>
      <c r="D83" s="5"/>
      <c r="E83" s="5"/>
      <c r="F83" s="5"/>
      <c r="G83" s="206"/>
      <c r="H83" s="206"/>
      <c r="I83" s="206"/>
    </row>
    <row r="84" spans="1:9" ht="15.6" x14ac:dyDescent="0.3">
      <c r="A84" s="5"/>
      <c r="B84" s="4" t="s">
        <v>21</v>
      </c>
      <c r="C84" s="4"/>
      <c r="D84" s="4"/>
      <c r="E84" s="4" t="s">
        <v>22</v>
      </c>
      <c r="F84" s="4"/>
      <c r="G84" s="5"/>
      <c r="H84" s="5"/>
      <c r="I84" s="5"/>
    </row>
    <row r="85" spans="1:9" ht="15.6" x14ac:dyDescent="0.3">
      <c r="A85" s="5"/>
      <c r="B85" s="4"/>
      <c r="C85" s="4"/>
      <c r="D85" s="4"/>
      <c r="E85" s="4"/>
      <c r="F85" s="4"/>
      <c r="G85" s="5"/>
      <c r="H85" s="5"/>
      <c r="I85" s="5"/>
    </row>
    <row r="86" spans="1:9" ht="15.6" x14ac:dyDescent="0.3">
      <c r="A86" s="5"/>
      <c r="B86" s="4" t="s">
        <v>23</v>
      </c>
      <c r="C86" s="4"/>
      <c r="D86" s="4"/>
      <c r="E86" s="4" t="s">
        <v>272</v>
      </c>
      <c r="F86" s="4"/>
      <c r="G86" s="5"/>
      <c r="H86" s="5"/>
      <c r="I86" s="5"/>
    </row>
    <row r="87" spans="1:9" ht="15.6" x14ac:dyDescent="0.3">
      <c r="A87" s="5"/>
      <c r="B87" s="4"/>
      <c r="C87" s="4"/>
      <c r="D87" s="4"/>
      <c r="E87" s="4"/>
      <c r="F87" s="4"/>
      <c r="G87" s="5"/>
      <c r="H87" s="5"/>
      <c r="I87" s="5"/>
    </row>
    <row r="88" spans="1:9" x14ac:dyDescent="0.3">
      <c r="B88" s="5"/>
    </row>
    <row r="90" spans="1:9" x14ac:dyDescent="0.3">
      <c r="B90" s="351" t="s">
        <v>663</v>
      </c>
    </row>
  </sheetData>
  <mergeCells count="9">
    <mergeCell ref="A20:A21"/>
    <mergeCell ref="C20:C21"/>
    <mergeCell ref="B1:G1"/>
    <mergeCell ref="B3:G3"/>
    <mergeCell ref="B4:G4"/>
    <mergeCell ref="B6:B8"/>
    <mergeCell ref="D6:D8"/>
    <mergeCell ref="E6:F8"/>
    <mergeCell ref="G6:G8"/>
  </mergeCells>
  <pageMargins left="0.7" right="0.7" top="0.75" bottom="0.75" header="0.3" footer="0.3"/>
  <pageSetup paperSize="9"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6"/>
  <sheetViews>
    <sheetView topLeftCell="A4" zoomScale="80" zoomScaleNormal="80" workbookViewId="0">
      <selection activeCell="C19" sqref="C19"/>
    </sheetView>
  </sheetViews>
  <sheetFormatPr defaultRowHeight="14.4" x14ac:dyDescent="0.3"/>
  <cols>
    <col min="1" max="1" width="61.33203125" customWidth="1"/>
    <col min="2" max="2" width="13.88671875" customWidth="1"/>
    <col min="3" max="3" width="16.6640625" customWidth="1"/>
    <col min="4" max="4" width="16.88671875" customWidth="1"/>
    <col min="5" max="5" width="14" bestFit="1" customWidth="1"/>
    <col min="6" max="6" width="16.5546875" customWidth="1"/>
    <col min="7" max="7" width="13" customWidth="1"/>
    <col min="8" max="8" width="14" bestFit="1" customWidth="1"/>
    <col min="9" max="9" width="13.33203125" customWidth="1"/>
    <col min="11" max="13" width="11.33203125" customWidth="1"/>
    <col min="14" max="14" width="11.109375" customWidth="1"/>
    <col min="15" max="15" width="11.44140625" customWidth="1"/>
    <col min="16" max="16" width="11.109375" customWidth="1"/>
  </cols>
  <sheetData>
    <row r="1" spans="1:4" ht="15.6" x14ac:dyDescent="0.3">
      <c r="A1" s="4" t="s">
        <v>271</v>
      </c>
      <c r="B1" s="4"/>
      <c r="C1" s="543" t="s">
        <v>251</v>
      </c>
      <c r="D1" s="543"/>
    </row>
    <row r="2" spans="1:4" s="10" customFormat="1" ht="18" x14ac:dyDescent="0.35">
      <c r="A2" s="542" t="s">
        <v>588</v>
      </c>
      <c r="B2" s="542"/>
      <c r="C2" s="542"/>
      <c r="D2" s="542"/>
    </row>
    <row r="3" spans="1:4" ht="15.6" x14ac:dyDescent="0.3">
      <c r="A3" s="26" t="s">
        <v>42</v>
      </c>
      <c r="B3" s="5"/>
      <c r="C3" s="5"/>
      <c r="D3" s="5"/>
    </row>
    <row r="4" spans="1:4" ht="15" thickBot="1" x14ac:dyDescent="0.35">
      <c r="A4" s="5"/>
      <c r="B4" s="5"/>
      <c r="C4" s="5"/>
      <c r="D4" s="5"/>
    </row>
    <row r="5" spans="1:4" ht="47.4" thickBot="1" x14ac:dyDescent="0.35">
      <c r="A5" s="27" t="s">
        <v>35</v>
      </c>
      <c r="B5" s="28" t="s">
        <v>51</v>
      </c>
      <c r="C5" s="28" t="s">
        <v>52</v>
      </c>
      <c r="D5" s="28" t="s">
        <v>260</v>
      </c>
    </row>
    <row r="6" spans="1:4" ht="16.2" thickBot="1" x14ac:dyDescent="0.35">
      <c r="A6" s="29">
        <v>1</v>
      </c>
      <c r="B6" s="30">
        <v>2</v>
      </c>
      <c r="C6" s="30">
        <v>3</v>
      </c>
      <c r="D6" s="30">
        <v>4</v>
      </c>
    </row>
    <row r="7" spans="1:4" ht="16.2" thickBot="1" x14ac:dyDescent="0.35">
      <c r="A7" s="31" t="s">
        <v>53</v>
      </c>
      <c r="B7" s="30">
        <v>9</v>
      </c>
      <c r="C7" s="32">
        <v>916.66</v>
      </c>
      <c r="D7" s="33">
        <v>99000</v>
      </c>
    </row>
    <row r="8" spans="1:4" ht="18" x14ac:dyDescent="0.3">
      <c r="A8" s="34"/>
      <c r="B8" s="34"/>
      <c r="C8" s="35"/>
      <c r="D8" s="35"/>
    </row>
    <row r="9" spans="1:4" ht="18" x14ac:dyDescent="0.3">
      <c r="A9" s="34"/>
      <c r="B9" s="34"/>
      <c r="C9" s="35"/>
      <c r="D9" s="5"/>
    </row>
    <row r="10" spans="1:4" ht="15" thickBot="1" x14ac:dyDescent="0.35">
      <c r="A10" s="5"/>
      <c r="B10" s="5"/>
      <c r="C10" s="5"/>
      <c r="D10" s="5"/>
    </row>
    <row r="11" spans="1:4" ht="31.8" thickBot="1" x14ac:dyDescent="0.35">
      <c r="A11" s="36" t="s">
        <v>35</v>
      </c>
      <c r="B11" s="37" t="s">
        <v>54</v>
      </c>
      <c r="C11" s="37" t="s">
        <v>55</v>
      </c>
      <c r="D11" s="38" t="s">
        <v>259</v>
      </c>
    </row>
    <row r="12" spans="1:4" ht="16.2" thickBot="1" x14ac:dyDescent="0.35">
      <c r="A12" s="39">
        <v>1</v>
      </c>
      <c r="B12" s="30">
        <v>2</v>
      </c>
      <c r="C12" s="30">
        <v>3</v>
      </c>
      <c r="D12" s="40">
        <v>4</v>
      </c>
    </row>
    <row r="13" spans="1:4" ht="16.2" thickBot="1" x14ac:dyDescent="0.35">
      <c r="A13" s="41" t="s">
        <v>222</v>
      </c>
      <c r="B13" s="42">
        <v>280</v>
      </c>
      <c r="C13" s="43">
        <v>25</v>
      </c>
      <c r="D13" s="44">
        <f>B13*C13</f>
        <v>7000</v>
      </c>
    </row>
    <row r="14" spans="1:4" ht="15.6" x14ac:dyDescent="0.3">
      <c r="A14" s="45"/>
      <c r="B14" s="45"/>
      <c r="C14" s="46"/>
      <c r="D14" s="46"/>
    </row>
    <row r="15" spans="1:4" ht="18" x14ac:dyDescent="0.3">
      <c r="A15" s="34"/>
      <c r="B15" s="34"/>
      <c r="C15" s="5"/>
      <c r="D15" s="35"/>
    </row>
    <row r="16" spans="1:4" ht="15" thickBot="1" x14ac:dyDescent="0.35">
      <c r="A16" s="5"/>
      <c r="B16" s="5"/>
      <c r="C16" s="5"/>
      <c r="D16" s="5"/>
    </row>
    <row r="17" spans="1:4" ht="47.4" thickBot="1" x14ac:dyDescent="0.35">
      <c r="A17" s="47" t="s">
        <v>35</v>
      </c>
      <c r="B17" s="48" t="s">
        <v>56</v>
      </c>
      <c r="C17" s="49" t="s">
        <v>258</v>
      </c>
      <c r="D17" s="5"/>
    </row>
    <row r="18" spans="1:4" ht="16.5" thickBot="1" x14ac:dyDescent="0.3">
      <c r="A18" s="50">
        <v>1</v>
      </c>
      <c r="B18" s="51">
        <v>2</v>
      </c>
      <c r="C18" s="52">
        <v>3</v>
      </c>
      <c r="D18" s="5"/>
    </row>
    <row r="19" spans="1:4" ht="15.6" x14ac:dyDescent="0.3">
      <c r="A19" s="53" t="s">
        <v>57</v>
      </c>
      <c r="B19" s="54">
        <v>5000</v>
      </c>
      <c r="C19" s="55">
        <f>B19*12</f>
        <v>60000</v>
      </c>
      <c r="D19" s="5"/>
    </row>
    <row r="20" spans="1:4" s="10" customFormat="1" ht="15.6" x14ac:dyDescent="0.3">
      <c r="A20" s="53" t="s">
        <v>577</v>
      </c>
      <c r="B20" s="54">
        <v>400</v>
      </c>
      <c r="C20" s="55">
        <f t="shared" ref="C20:C21" si="0">B20*12</f>
        <v>4800</v>
      </c>
      <c r="D20" s="5"/>
    </row>
    <row r="21" spans="1:4" ht="16.2" thickBot="1" x14ac:dyDescent="0.35">
      <c r="A21" s="56" t="s">
        <v>91</v>
      </c>
      <c r="B21" s="57">
        <v>1000</v>
      </c>
      <c r="C21" s="55">
        <f t="shared" si="0"/>
        <v>12000</v>
      </c>
      <c r="D21" s="5"/>
    </row>
    <row r="22" spans="1:4" ht="16.2" thickBot="1" x14ac:dyDescent="0.35">
      <c r="A22" s="58" t="s">
        <v>82</v>
      </c>
      <c r="B22" s="59"/>
      <c r="C22" s="60">
        <f>SUM(C19:C21)</f>
        <v>76800</v>
      </c>
      <c r="D22" s="5"/>
    </row>
    <row r="23" spans="1:4" x14ac:dyDescent="0.3">
      <c r="A23" s="5"/>
      <c r="B23" s="5"/>
      <c r="C23" s="5"/>
      <c r="D23" s="5"/>
    </row>
    <row r="24" spans="1:4" ht="15.6" x14ac:dyDescent="0.3">
      <c r="A24" s="61" t="s">
        <v>97</v>
      </c>
      <c r="B24" s="9"/>
      <c r="C24" s="62">
        <f>D7+D13+C22</f>
        <v>182800</v>
      </c>
      <c r="D24" s="5"/>
    </row>
    <row r="25" spans="1:4" x14ac:dyDescent="0.3">
      <c r="A25" s="5"/>
      <c r="B25" s="5"/>
      <c r="C25" s="5"/>
      <c r="D25" s="5"/>
    </row>
    <row r="26" spans="1:4" x14ac:dyDescent="0.3">
      <c r="A26" s="5"/>
      <c r="B26" s="5"/>
      <c r="C26" s="5"/>
      <c r="D26" s="5"/>
    </row>
    <row r="85" ht="87" customHeight="1" x14ac:dyDescent="0.3"/>
    <row r="86" ht="134.4" customHeight="1" x14ac:dyDescent="0.3"/>
  </sheetData>
  <mergeCells count="2">
    <mergeCell ref="A2:D2"/>
    <mergeCell ref="C1:D1"/>
  </mergeCells>
  <pageMargins left="0.7" right="0.7" top="0.75" bottom="0.75" header="0.3" footer="0.3"/>
  <pageSetup paperSize="9" scale="8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workbookViewId="0">
      <selection activeCell="E1" sqref="E1"/>
    </sheetView>
  </sheetViews>
  <sheetFormatPr defaultRowHeight="14.4" x14ac:dyDescent="0.3"/>
  <cols>
    <col min="1" max="1" width="4.88671875" style="10" customWidth="1"/>
    <col min="2" max="2" width="36.109375" style="10" customWidth="1"/>
    <col min="3" max="3" width="21.33203125" style="10" customWidth="1"/>
    <col min="4" max="4" width="18.44140625" style="10" customWidth="1"/>
    <col min="5" max="5" width="22.109375" style="10" customWidth="1"/>
    <col min="6" max="16384" width="8.88671875" style="10"/>
  </cols>
  <sheetData>
    <row r="1" spans="1:5" ht="15.6" x14ac:dyDescent="0.3">
      <c r="A1" s="4"/>
      <c r="B1" s="4"/>
      <c r="C1" s="4"/>
      <c r="D1" s="4"/>
      <c r="E1" s="510" t="s">
        <v>652</v>
      </c>
    </row>
    <row r="2" spans="1:5" ht="18" x14ac:dyDescent="0.35">
      <c r="A2" s="542" t="s">
        <v>650</v>
      </c>
      <c r="B2" s="542"/>
      <c r="C2" s="542"/>
      <c r="D2" s="542"/>
      <c r="E2" s="542"/>
    </row>
    <row r="3" spans="1:5" ht="16.2" thickBot="1" x14ac:dyDescent="0.35">
      <c r="A3" s="63" t="s">
        <v>89</v>
      </c>
      <c r="B3" s="5"/>
      <c r="C3" s="5"/>
      <c r="D3" s="5"/>
      <c r="E3" s="5"/>
    </row>
    <row r="4" spans="1:5" ht="47.4" customHeight="1" thickBot="1" x14ac:dyDescent="0.35">
      <c r="A4" s="148" t="s">
        <v>62</v>
      </c>
      <c r="B4" s="23" t="s">
        <v>35</v>
      </c>
      <c r="C4" s="149" t="s">
        <v>58</v>
      </c>
      <c r="D4" s="149" t="s">
        <v>59</v>
      </c>
      <c r="E4" s="150" t="s">
        <v>223</v>
      </c>
    </row>
    <row r="5" spans="1:5" ht="15.6" x14ac:dyDescent="0.3">
      <c r="A5" s="64">
        <v>1</v>
      </c>
      <c r="B5" s="65" t="s">
        <v>224</v>
      </c>
      <c r="C5" s="88">
        <v>1299.6500000000001</v>
      </c>
      <c r="D5" s="331">
        <v>2400</v>
      </c>
      <c r="E5" s="392">
        <f>C5*D5</f>
        <v>3119160</v>
      </c>
    </row>
    <row r="6" spans="1:5" ht="15.6" x14ac:dyDescent="0.3">
      <c r="A6" s="66">
        <v>2</v>
      </c>
      <c r="B6" s="67" t="s">
        <v>225</v>
      </c>
      <c r="C6" s="68">
        <v>990.31</v>
      </c>
      <c r="D6" s="332">
        <v>2600</v>
      </c>
      <c r="E6" s="392">
        <f t="shared" ref="E6:E7" si="0">C6*D6</f>
        <v>2574806</v>
      </c>
    </row>
    <row r="7" spans="1:5" ht="15.6" x14ac:dyDescent="0.3">
      <c r="A7" s="66">
        <v>3</v>
      </c>
      <c r="B7" s="67" t="s">
        <v>226</v>
      </c>
      <c r="C7" s="68">
        <v>13239.54</v>
      </c>
      <c r="D7" s="332">
        <v>35</v>
      </c>
      <c r="E7" s="392">
        <f t="shared" si="0"/>
        <v>463383.9</v>
      </c>
    </row>
    <row r="8" spans="1:5" ht="15.6" x14ac:dyDescent="0.3">
      <c r="A8" s="66"/>
      <c r="B8" s="147" t="s">
        <v>252</v>
      </c>
      <c r="C8" s="68"/>
      <c r="D8" s="332"/>
      <c r="E8" s="393">
        <f>SUM(E5:E7)</f>
        <v>6157349.9000000004</v>
      </c>
    </row>
    <row r="9" spans="1:5" ht="15.6" x14ac:dyDescent="0.3">
      <c r="A9" s="66"/>
      <c r="B9" s="146"/>
      <c r="C9" s="68"/>
      <c r="D9" s="332"/>
      <c r="E9" s="394"/>
    </row>
    <row r="10" spans="1:5" ht="15.6" x14ac:dyDescent="0.3">
      <c r="A10" s="66">
        <v>4</v>
      </c>
      <c r="B10" s="67" t="s">
        <v>227</v>
      </c>
      <c r="C10" s="68">
        <v>630493.47</v>
      </c>
      <c r="D10" s="332">
        <v>8</v>
      </c>
      <c r="E10" s="395">
        <f t="shared" ref="E10" si="1">C10*D10</f>
        <v>5043947.76</v>
      </c>
    </row>
    <row r="11" spans="1:5" ht="16.2" thickBot="1" x14ac:dyDescent="0.35">
      <c r="A11" s="66"/>
      <c r="B11" s="67"/>
      <c r="C11" s="68"/>
      <c r="D11" s="332"/>
      <c r="E11" s="394"/>
    </row>
    <row r="12" spans="1:5" ht="18" thickBot="1" x14ac:dyDescent="0.35">
      <c r="A12" s="72"/>
      <c r="B12" s="73" t="s">
        <v>97</v>
      </c>
      <c r="C12" s="74" t="s">
        <v>61</v>
      </c>
      <c r="D12" s="74" t="s">
        <v>60</v>
      </c>
      <c r="E12" s="397">
        <f>E8+E10</f>
        <v>11201297.66</v>
      </c>
    </row>
    <row r="13" spans="1:5" x14ac:dyDescent="0.3">
      <c r="A13" s="5"/>
      <c r="B13" s="5"/>
      <c r="C13" s="5"/>
      <c r="D13" s="5"/>
      <c r="E13" s="5"/>
    </row>
  </sheetData>
  <mergeCells count="1">
    <mergeCell ref="A2:E2"/>
  </mergeCells>
  <pageMargins left="0.7" right="0.7" top="0.75" bottom="0.75" header="0.3" footer="0.3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workbookViewId="0">
      <selection activeCell="D7" sqref="D7"/>
    </sheetView>
  </sheetViews>
  <sheetFormatPr defaultRowHeight="14.4" x14ac:dyDescent="0.3"/>
  <cols>
    <col min="1" max="1" width="4.88671875" customWidth="1"/>
    <col min="2" max="2" width="36.109375" customWidth="1"/>
    <col min="3" max="3" width="21.33203125" customWidth="1"/>
    <col min="4" max="4" width="18.44140625" customWidth="1"/>
    <col min="5" max="5" width="22.109375" customWidth="1"/>
  </cols>
  <sheetData>
    <row r="1" spans="1:5" s="10" customFormat="1" ht="15.6" x14ac:dyDescent="0.3">
      <c r="A1" s="4"/>
      <c r="B1" s="4"/>
      <c r="C1" s="4"/>
      <c r="D1" s="4"/>
      <c r="E1" s="144" t="s">
        <v>90</v>
      </c>
    </row>
    <row r="2" spans="1:5" ht="18" x14ac:dyDescent="0.35">
      <c r="A2" s="542" t="s">
        <v>651</v>
      </c>
      <c r="B2" s="542"/>
      <c r="C2" s="542"/>
      <c r="D2" s="542"/>
      <c r="E2" s="542"/>
    </row>
    <row r="3" spans="1:5" ht="16.2" thickBot="1" x14ac:dyDescent="0.35">
      <c r="A3" s="63" t="s">
        <v>89</v>
      </c>
      <c r="B3" s="5"/>
      <c r="C3" s="5"/>
      <c r="D3" s="5"/>
      <c r="E3" s="5"/>
    </row>
    <row r="4" spans="1:5" ht="47.4" customHeight="1" thickBot="1" x14ac:dyDescent="0.35">
      <c r="A4" s="148" t="s">
        <v>62</v>
      </c>
      <c r="B4" s="23" t="s">
        <v>35</v>
      </c>
      <c r="C4" s="149" t="s">
        <v>58</v>
      </c>
      <c r="D4" s="149" t="s">
        <v>59</v>
      </c>
      <c r="E4" s="150" t="s">
        <v>223</v>
      </c>
    </row>
    <row r="5" spans="1:5" s="10" customFormat="1" ht="15.6" x14ac:dyDescent="0.3">
      <c r="A5" s="66"/>
      <c r="B5" s="67"/>
      <c r="C5" s="68"/>
      <c r="D5" s="332"/>
      <c r="E5" s="394"/>
    </row>
    <row r="6" spans="1:5" ht="15.6" x14ac:dyDescent="0.3">
      <c r="A6" s="66">
        <v>1</v>
      </c>
      <c r="B6" s="67" t="s">
        <v>228</v>
      </c>
      <c r="C6" s="68">
        <v>15575.57</v>
      </c>
      <c r="D6" s="332">
        <v>35</v>
      </c>
      <c r="E6" s="392">
        <f t="shared" ref="E6:E7" si="0">C6*D6</f>
        <v>545144.94999999995</v>
      </c>
    </row>
    <row r="7" spans="1:5" ht="15.6" x14ac:dyDescent="0.3">
      <c r="A7" s="69">
        <v>2</v>
      </c>
      <c r="B7" s="70" t="s">
        <v>229</v>
      </c>
      <c r="C7" s="71">
        <v>28815.11</v>
      </c>
      <c r="D7" s="333">
        <v>30</v>
      </c>
      <c r="E7" s="392">
        <f t="shared" si="0"/>
        <v>864453.3</v>
      </c>
    </row>
    <row r="8" spans="1:5" s="10" customFormat="1" ht="15.6" x14ac:dyDescent="0.3">
      <c r="A8" s="66"/>
      <c r="B8" s="147" t="s">
        <v>253</v>
      </c>
      <c r="C8" s="146"/>
      <c r="D8" s="332"/>
      <c r="E8" s="393">
        <f>SUM(E6:E7)</f>
        <v>1409598.25</v>
      </c>
    </row>
    <row r="9" spans="1:5" s="10" customFormat="1" ht="16.2" thickBot="1" x14ac:dyDescent="0.35">
      <c r="A9" s="69"/>
      <c r="B9" s="70"/>
      <c r="C9" s="151"/>
      <c r="D9" s="330"/>
      <c r="E9" s="396"/>
    </row>
    <row r="10" spans="1:5" ht="18" thickBot="1" x14ac:dyDescent="0.35">
      <c r="A10" s="72"/>
      <c r="B10" s="73" t="s">
        <v>97</v>
      </c>
      <c r="C10" s="74" t="s">
        <v>61</v>
      </c>
      <c r="D10" s="74" t="s">
        <v>60</v>
      </c>
      <c r="E10" s="397">
        <f>E6+E7</f>
        <v>1409598.25</v>
      </c>
    </row>
    <row r="11" spans="1:5" x14ac:dyDescent="0.3">
      <c r="A11" s="5"/>
      <c r="B11" s="5"/>
      <c r="C11" s="5"/>
      <c r="D11" s="5"/>
      <c r="E11" s="5"/>
    </row>
  </sheetData>
  <mergeCells count="1">
    <mergeCell ref="A2:E2"/>
  </mergeCells>
  <pageMargins left="0.7" right="0.7" top="0.75" bottom="0.75" header="0.3" footer="0.3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opLeftCell="A43" workbookViewId="0">
      <selection activeCell="G23" sqref="G23"/>
    </sheetView>
  </sheetViews>
  <sheetFormatPr defaultRowHeight="14.4" x14ac:dyDescent="0.3"/>
  <cols>
    <col min="1" max="1" width="6.109375" style="10" customWidth="1"/>
    <col min="2" max="2" width="63" style="10" customWidth="1"/>
    <col min="3" max="3" width="12.88671875" style="10" customWidth="1"/>
    <col min="4" max="4" width="11.33203125" style="360" customWidth="1"/>
    <col min="5" max="5" width="23" style="10" customWidth="1"/>
    <col min="6" max="8" width="8.88671875" style="10"/>
    <col min="9" max="9" width="10.44140625" style="10" bestFit="1" customWidth="1"/>
    <col min="10" max="16384" width="8.88671875" style="10"/>
  </cols>
  <sheetData>
    <row r="1" spans="1:7" ht="15.6" x14ac:dyDescent="0.3">
      <c r="A1" s="4"/>
      <c r="B1" s="4"/>
      <c r="C1" s="4"/>
      <c r="D1" s="384"/>
      <c r="E1" s="358" t="s">
        <v>237</v>
      </c>
    </row>
    <row r="2" spans="1:7" ht="18" x14ac:dyDescent="0.35">
      <c r="A2" s="542" t="s">
        <v>589</v>
      </c>
      <c r="B2" s="542"/>
      <c r="C2" s="542"/>
      <c r="D2" s="542"/>
      <c r="E2" s="542"/>
    </row>
    <row r="3" spans="1:7" ht="18.600000000000001" thickBot="1" x14ac:dyDescent="0.4">
      <c r="A3" s="26" t="s">
        <v>233</v>
      </c>
      <c r="B3" s="63"/>
      <c r="C3" s="357"/>
      <c r="D3" s="383"/>
      <c r="E3" s="357"/>
    </row>
    <row r="4" spans="1:7" ht="47.4" thickBot="1" x14ac:dyDescent="0.35">
      <c r="A4" s="76" t="s">
        <v>62</v>
      </c>
      <c r="B4" s="77" t="s">
        <v>63</v>
      </c>
      <c r="C4" s="77" t="s">
        <v>64</v>
      </c>
      <c r="D4" s="382" t="s">
        <v>65</v>
      </c>
      <c r="E4" s="78" t="s">
        <v>246</v>
      </c>
    </row>
    <row r="5" spans="1:7" ht="16.2" thickBot="1" x14ac:dyDescent="0.35">
      <c r="A5" s="21">
        <v>1</v>
      </c>
      <c r="B5" s="23">
        <v>2</v>
      </c>
      <c r="C5" s="23">
        <v>3</v>
      </c>
      <c r="D5" s="369">
        <v>4</v>
      </c>
      <c r="E5" s="24">
        <v>5</v>
      </c>
    </row>
    <row r="6" spans="1:7" ht="16.2" x14ac:dyDescent="0.3">
      <c r="A6" s="550" t="s">
        <v>232</v>
      </c>
      <c r="B6" s="551"/>
      <c r="C6" s="551"/>
      <c r="D6" s="551"/>
      <c r="E6" s="552"/>
    </row>
    <row r="7" spans="1:7" ht="15.6" x14ac:dyDescent="0.3">
      <c r="A7" s="547">
        <v>1</v>
      </c>
      <c r="B7" s="203" t="s">
        <v>266</v>
      </c>
      <c r="C7" s="204">
        <v>12</v>
      </c>
      <c r="D7" s="381">
        <v>6000</v>
      </c>
      <c r="E7" s="388">
        <f t="shared" ref="E7:E15" si="0">C7*D7</f>
        <v>72000</v>
      </c>
    </row>
    <row r="8" spans="1:7" ht="15.6" x14ac:dyDescent="0.3">
      <c r="A8" s="554"/>
      <c r="B8" s="177" t="s">
        <v>279</v>
      </c>
      <c r="C8" s="178">
        <v>12</v>
      </c>
      <c r="D8" s="370">
        <v>30605</v>
      </c>
      <c r="E8" s="388">
        <v>367260</v>
      </c>
      <c r="F8" s="142"/>
      <c r="G8" s="10" t="s">
        <v>255</v>
      </c>
    </row>
    <row r="9" spans="1:7" ht="15.6" x14ac:dyDescent="0.3">
      <c r="A9" s="359">
        <v>2</v>
      </c>
      <c r="B9" s="177" t="s">
        <v>45</v>
      </c>
      <c r="C9" s="178">
        <v>12</v>
      </c>
      <c r="D9" s="370">
        <v>5000</v>
      </c>
      <c r="E9" s="388">
        <f t="shared" si="0"/>
        <v>60000</v>
      </c>
      <c r="G9" s="10" t="s">
        <v>255</v>
      </c>
    </row>
    <row r="10" spans="1:7" ht="15.6" x14ac:dyDescent="0.3">
      <c r="A10" s="359">
        <v>3</v>
      </c>
      <c r="B10" s="177" t="s">
        <v>46</v>
      </c>
      <c r="C10" s="178">
        <v>1</v>
      </c>
      <c r="D10" s="370">
        <v>10000</v>
      </c>
      <c r="E10" s="388">
        <f t="shared" si="0"/>
        <v>10000</v>
      </c>
      <c r="G10" s="10" t="s">
        <v>255</v>
      </c>
    </row>
    <row r="11" spans="1:7" ht="15.6" x14ac:dyDescent="0.3">
      <c r="A11" s="359">
        <v>4</v>
      </c>
      <c r="B11" s="177" t="s">
        <v>4</v>
      </c>
      <c r="C11" s="178">
        <v>4</v>
      </c>
      <c r="D11" s="370">
        <v>25000</v>
      </c>
      <c r="E11" s="388">
        <f t="shared" si="0"/>
        <v>100000</v>
      </c>
      <c r="G11" s="10" t="s">
        <v>255</v>
      </c>
    </row>
    <row r="12" spans="1:7" ht="31.2" x14ac:dyDescent="0.3">
      <c r="A12" s="359">
        <v>5</v>
      </c>
      <c r="B12" s="180" t="s">
        <v>47</v>
      </c>
      <c r="C12" s="178">
        <v>2</v>
      </c>
      <c r="D12" s="380">
        <v>99000</v>
      </c>
      <c r="E12" s="389">
        <f t="shared" si="0"/>
        <v>198000</v>
      </c>
      <c r="G12" s="10" t="s">
        <v>255</v>
      </c>
    </row>
    <row r="13" spans="1:7" ht="15.6" x14ac:dyDescent="0.3">
      <c r="A13" s="359">
        <v>6</v>
      </c>
      <c r="B13" s="180" t="s">
        <v>567</v>
      </c>
      <c r="C13" s="178">
        <v>10</v>
      </c>
      <c r="D13" s="380">
        <v>10000</v>
      </c>
      <c r="E13" s="389">
        <f t="shared" si="0"/>
        <v>100000</v>
      </c>
    </row>
    <row r="14" spans="1:7" ht="15.6" x14ac:dyDescent="0.3">
      <c r="A14" s="359">
        <v>7</v>
      </c>
      <c r="B14" s="180" t="s">
        <v>568</v>
      </c>
      <c r="C14" s="178">
        <v>4</v>
      </c>
      <c r="D14" s="380">
        <v>25000</v>
      </c>
      <c r="E14" s="389">
        <f t="shared" si="0"/>
        <v>100000</v>
      </c>
    </row>
    <row r="15" spans="1:7" ht="15.6" x14ac:dyDescent="0.3">
      <c r="A15" s="359">
        <v>8</v>
      </c>
      <c r="B15" s="180" t="s">
        <v>574</v>
      </c>
      <c r="C15" s="178">
        <v>4</v>
      </c>
      <c r="D15" s="380">
        <v>49010.5</v>
      </c>
      <c r="E15" s="389">
        <f t="shared" si="0"/>
        <v>196042</v>
      </c>
    </row>
    <row r="16" spans="1:7" ht="15.6" x14ac:dyDescent="0.3">
      <c r="A16" s="359">
        <v>9</v>
      </c>
      <c r="B16" s="177" t="s">
        <v>25</v>
      </c>
      <c r="C16" s="178">
        <v>2</v>
      </c>
      <c r="D16" s="370">
        <v>99000</v>
      </c>
      <c r="E16" s="388">
        <f>C16*D16</f>
        <v>198000</v>
      </c>
      <c r="G16" s="10" t="s">
        <v>255</v>
      </c>
    </row>
    <row r="17" spans="1:7" ht="15.6" x14ac:dyDescent="0.3">
      <c r="A17" s="553">
        <v>10</v>
      </c>
      <c r="B17" s="185" t="s">
        <v>66</v>
      </c>
      <c r="C17" s="181"/>
      <c r="D17" s="370"/>
      <c r="E17" s="388">
        <f>SUM(E18:E20)</f>
        <v>57600</v>
      </c>
    </row>
    <row r="18" spans="1:7" ht="15.6" x14ac:dyDescent="0.3">
      <c r="A18" s="553"/>
      <c r="B18" s="177" t="s">
        <v>67</v>
      </c>
      <c r="C18" s="178">
        <v>1</v>
      </c>
      <c r="D18" s="370">
        <v>24850</v>
      </c>
      <c r="E18" s="310">
        <f>C18*D18</f>
        <v>24850</v>
      </c>
    </row>
    <row r="19" spans="1:7" ht="15.6" x14ac:dyDescent="0.3">
      <c r="A19" s="553"/>
      <c r="B19" s="177" t="s">
        <v>68</v>
      </c>
      <c r="C19" s="178">
        <v>1</v>
      </c>
      <c r="D19" s="370">
        <v>26500</v>
      </c>
      <c r="E19" s="310">
        <f>C19*D19</f>
        <v>26500</v>
      </c>
    </row>
    <row r="20" spans="1:7" ht="15.6" x14ac:dyDescent="0.3">
      <c r="A20" s="553"/>
      <c r="B20" s="177" t="s">
        <v>69</v>
      </c>
      <c r="C20" s="178">
        <v>1</v>
      </c>
      <c r="D20" s="370">
        <v>6250</v>
      </c>
      <c r="E20" s="310">
        <f>C20*D20</f>
        <v>6250</v>
      </c>
    </row>
    <row r="21" spans="1:7" ht="31.2" x14ac:dyDescent="0.3">
      <c r="A21" s="553">
        <v>11</v>
      </c>
      <c r="B21" s="186" t="s">
        <v>17</v>
      </c>
      <c r="C21" s="178"/>
      <c r="D21" s="370"/>
      <c r="E21" s="388">
        <f>SUM(E22:E25)</f>
        <v>45900</v>
      </c>
    </row>
    <row r="22" spans="1:7" ht="15.6" x14ac:dyDescent="0.3">
      <c r="A22" s="553"/>
      <c r="B22" s="177" t="s">
        <v>19</v>
      </c>
      <c r="C22" s="178">
        <v>15</v>
      </c>
      <c r="D22" s="370">
        <v>800</v>
      </c>
      <c r="E22" s="310">
        <f t="shared" ref="E22:E27" si="1">C22*D22</f>
        <v>12000</v>
      </c>
    </row>
    <row r="23" spans="1:7" ht="31.2" x14ac:dyDescent="0.3">
      <c r="A23" s="553"/>
      <c r="B23" s="180" t="s">
        <v>18</v>
      </c>
      <c r="C23" s="178">
        <v>44</v>
      </c>
      <c r="D23" s="370">
        <v>500</v>
      </c>
      <c r="E23" s="310">
        <f t="shared" si="1"/>
        <v>22000</v>
      </c>
    </row>
    <row r="24" spans="1:7" ht="15.6" x14ac:dyDescent="0.3">
      <c r="A24" s="553"/>
      <c r="B24" s="177" t="s">
        <v>29</v>
      </c>
      <c r="C24" s="178">
        <v>17</v>
      </c>
      <c r="D24" s="370">
        <v>300</v>
      </c>
      <c r="E24" s="310">
        <f t="shared" si="1"/>
        <v>5100</v>
      </c>
    </row>
    <row r="25" spans="1:7" ht="15.6" x14ac:dyDescent="0.3">
      <c r="A25" s="553"/>
      <c r="B25" s="177" t="s">
        <v>30</v>
      </c>
      <c r="C25" s="178">
        <v>17</v>
      </c>
      <c r="D25" s="370">
        <v>400</v>
      </c>
      <c r="E25" s="310">
        <f t="shared" si="1"/>
        <v>6800</v>
      </c>
    </row>
    <row r="26" spans="1:7" ht="15.6" x14ac:dyDescent="0.3">
      <c r="A26" s="359">
        <v>12</v>
      </c>
      <c r="B26" s="177" t="s">
        <v>49</v>
      </c>
      <c r="C26" s="178">
        <v>7</v>
      </c>
      <c r="D26" s="370">
        <v>500</v>
      </c>
      <c r="E26" s="388">
        <f t="shared" si="1"/>
        <v>3500</v>
      </c>
    </row>
    <row r="27" spans="1:7" ht="15.6" x14ac:dyDescent="0.3">
      <c r="A27" s="359">
        <v>13</v>
      </c>
      <c r="B27" s="177" t="s">
        <v>50</v>
      </c>
      <c r="C27" s="178">
        <v>3</v>
      </c>
      <c r="D27" s="370">
        <v>450</v>
      </c>
      <c r="E27" s="388">
        <f t="shared" si="1"/>
        <v>1350</v>
      </c>
    </row>
    <row r="28" spans="1:7" ht="15.6" x14ac:dyDescent="0.3">
      <c r="A28" s="553">
        <v>14</v>
      </c>
      <c r="B28" s="185" t="s">
        <v>71</v>
      </c>
      <c r="C28" s="178"/>
      <c r="D28" s="370"/>
      <c r="E28" s="388">
        <f>E29+E30+E31+E32+E33+E34+E36+E35</f>
        <v>626043.36</v>
      </c>
    </row>
    <row r="29" spans="1:7" ht="15.6" x14ac:dyDescent="0.3">
      <c r="A29" s="553"/>
      <c r="B29" s="177" t="s">
        <v>70</v>
      </c>
      <c r="C29" s="178">
        <v>12</v>
      </c>
      <c r="D29" s="370">
        <v>6000</v>
      </c>
      <c r="E29" s="310">
        <f t="shared" ref="E29:E36" si="2">C29*D29</f>
        <v>72000</v>
      </c>
    </row>
    <row r="30" spans="1:7" ht="15.6" x14ac:dyDescent="0.3">
      <c r="A30" s="553"/>
      <c r="B30" s="177" t="s">
        <v>72</v>
      </c>
      <c r="C30" s="178">
        <v>12</v>
      </c>
      <c r="D30" s="370">
        <v>8300</v>
      </c>
      <c r="E30" s="310">
        <f t="shared" si="2"/>
        <v>99600</v>
      </c>
    </row>
    <row r="31" spans="1:7" ht="15.6" x14ac:dyDescent="0.3">
      <c r="A31" s="553"/>
      <c r="B31" s="177" t="s">
        <v>73</v>
      </c>
      <c r="C31" s="178">
        <v>12</v>
      </c>
      <c r="D31" s="370">
        <v>949.79</v>
      </c>
      <c r="E31" s="310">
        <f t="shared" si="2"/>
        <v>11397.48</v>
      </c>
      <c r="G31" s="10" t="s">
        <v>255</v>
      </c>
    </row>
    <row r="32" spans="1:7" ht="15.6" x14ac:dyDescent="0.3">
      <c r="A32" s="553"/>
      <c r="B32" s="177" t="s">
        <v>74</v>
      </c>
      <c r="C32" s="178">
        <v>12</v>
      </c>
      <c r="D32" s="370">
        <v>15700</v>
      </c>
      <c r="E32" s="310">
        <f t="shared" si="2"/>
        <v>188400</v>
      </c>
    </row>
    <row r="33" spans="1:9" ht="15.6" x14ac:dyDescent="0.3">
      <c r="A33" s="553"/>
      <c r="B33" s="177" t="s">
        <v>75</v>
      </c>
      <c r="C33" s="178">
        <v>12</v>
      </c>
      <c r="D33" s="370">
        <v>9350</v>
      </c>
      <c r="E33" s="310">
        <f t="shared" si="2"/>
        <v>112200</v>
      </c>
    </row>
    <row r="34" spans="1:9" ht="15.6" x14ac:dyDescent="0.3">
      <c r="A34" s="553"/>
      <c r="B34" s="177" t="s">
        <v>76</v>
      </c>
      <c r="C34" s="178">
        <v>12</v>
      </c>
      <c r="D34" s="370">
        <v>1830.49</v>
      </c>
      <c r="E34" s="310">
        <f t="shared" si="2"/>
        <v>21965.88</v>
      </c>
      <c r="G34" s="10" t="s">
        <v>255</v>
      </c>
    </row>
    <row r="35" spans="1:9" ht="31.2" x14ac:dyDescent="0.3">
      <c r="A35" s="553"/>
      <c r="B35" s="505" t="s">
        <v>645</v>
      </c>
      <c r="C35" s="178">
        <v>12</v>
      </c>
      <c r="D35" s="370">
        <v>5040</v>
      </c>
      <c r="E35" s="310">
        <f t="shared" si="2"/>
        <v>60480</v>
      </c>
      <c r="G35" s="10" t="s">
        <v>256</v>
      </c>
    </row>
    <row r="36" spans="1:9" ht="15.6" x14ac:dyDescent="0.3">
      <c r="A36" s="553"/>
      <c r="B36" s="177" t="s">
        <v>77</v>
      </c>
      <c r="C36" s="178">
        <v>12</v>
      </c>
      <c r="D36" s="370">
        <v>5000</v>
      </c>
      <c r="E36" s="310">
        <f t="shared" si="2"/>
        <v>60000</v>
      </c>
      <c r="G36" s="10" t="s">
        <v>256</v>
      </c>
    </row>
    <row r="37" spans="1:9" ht="15.6" x14ac:dyDescent="0.3">
      <c r="A37" s="359">
        <v>15</v>
      </c>
      <c r="B37" s="177" t="s">
        <v>573</v>
      </c>
      <c r="C37" s="178">
        <v>100</v>
      </c>
      <c r="D37" s="370">
        <v>1000</v>
      </c>
      <c r="E37" s="388">
        <v>100000</v>
      </c>
    </row>
    <row r="38" spans="1:9" ht="15.6" x14ac:dyDescent="0.3">
      <c r="A38" s="359">
        <v>16</v>
      </c>
      <c r="B38" s="177" t="s">
        <v>208</v>
      </c>
      <c r="C38" s="178">
        <v>12</v>
      </c>
      <c r="D38" s="370">
        <v>8000</v>
      </c>
      <c r="E38" s="388">
        <f>C38*D38</f>
        <v>96000</v>
      </c>
    </row>
    <row r="39" spans="1:9" ht="15.6" x14ac:dyDescent="0.3">
      <c r="A39" s="359">
        <v>17</v>
      </c>
      <c r="B39" s="177" t="s">
        <v>24</v>
      </c>
      <c r="C39" s="178">
        <v>10</v>
      </c>
      <c r="D39" s="370">
        <v>20000</v>
      </c>
      <c r="E39" s="388">
        <f>C39*D39</f>
        <v>200000</v>
      </c>
      <c r="G39" s="10" t="s">
        <v>256</v>
      </c>
    </row>
    <row r="40" spans="1:9" ht="31.2" x14ac:dyDescent="0.3">
      <c r="A40" s="359">
        <v>18</v>
      </c>
      <c r="B40" s="180" t="s">
        <v>273</v>
      </c>
      <c r="C40" s="178">
        <v>6</v>
      </c>
      <c r="D40" s="370">
        <v>10000</v>
      </c>
      <c r="E40" s="388">
        <v>60000</v>
      </c>
    </row>
    <row r="41" spans="1:9" ht="15.6" x14ac:dyDescent="0.3">
      <c r="A41" s="359">
        <v>19</v>
      </c>
      <c r="B41" s="177" t="s">
        <v>48</v>
      </c>
      <c r="C41" s="178">
        <v>10</v>
      </c>
      <c r="D41" s="370">
        <v>1200</v>
      </c>
      <c r="E41" s="388">
        <f>C41*D41</f>
        <v>12000</v>
      </c>
      <c r="G41" s="10" t="s">
        <v>256</v>
      </c>
    </row>
    <row r="42" spans="1:9" ht="15.6" x14ac:dyDescent="0.3">
      <c r="A42" s="553">
        <v>20</v>
      </c>
      <c r="B42" s="185" t="s">
        <v>209</v>
      </c>
      <c r="C42" s="178"/>
      <c r="D42" s="370"/>
      <c r="E42" s="388">
        <f>SUM(E43:E44)</f>
        <v>11600</v>
      </c>
      <c r="G42" s="10" t="s">
        <v>256</v>
      </c>
    </row>
    <row r="43" spans="1:9" ht="15.6" x14ac:dyDescent="0.3">
      <c r="A43" s="553"/>
      <c r="B43" s="177" t="s">
        <v>81</v>
      </c>
      <c r="C43" s="178">
        <v>5</v>
      </c>
      <c r="D43" s="370">
        <v>2000</v>
      </c>
      <c r="E43" s="310">
        <f>C43*D43</f>
        <v>10000</v>
      </c>
    </row>
    <row r="44" spans="1:9" ht="16.2" thickBot="1" x14ac:dyDescent="0.35">
      <c r="A44" s="547"/>
      <c r="B44" s="379" t="s">
        <v>78</v>
      </c>
      <c r="C44" s="378">
        <v>2</v>
      </c>
      <c r="D44" s="377">
        <v>800</v>
      </c>
      <c r="E44" s="376">
        <f>C44*D44</f>
        <v>1600</v>
      </c>
    </row>
    <row r="45" spans="1:9" ht="16.2" thickBot="1" x14ac:dyDescent="0.35">
      <c r="A45" s="375"/>
      <c r="B45" s="374" t="s">
        <v>98</v>
      </c>
      <c r="C45" s="373"/>
      <c r="D45" s="372"/>
      <c r="E45" s="311">
        <f>F45+E42+E41+E40+E39+E38+E37+E28+E27+E26+E21+E17+E16+E14+E13+E12+E11+E10+E9+E8+E7+E15</f>
        <v>2615295.36</v>
      </c>
      <c r="I45" s="371"/>
    </row>
    <row r="46" spans="1:9" ht="16.2" x14ac:dyDescent="0.3">
      <c r="A46" s="544" t="s">
        <v>234</v>
      </c>
      <c r="B46" s="545"/>
      <c r="C46" s="545"/>
      <c r="D46" s="545"/>
      <c r="E46" s="546"/>
    </row>
    <row r="47" spans="1:9" ht="15.6" x14ac:dyDescent="0.3">
      <c r="A47" s="359">
        <v>1</v>
      </c>
      <c r="B47" s="177" t="s">
        <v>16</v>
      </c>
      <c r="C47" s="178">
        <v>48</v>
      </c>
      <c r="D47" s="370">
        <v>1100</v>
      </c>
      <c r="E47" s="388">
        <f>D47*C47</f>
        <v>52800</v>
      </c>
    </row>
    <row r="48" spans="1:9" ht="15.6" x14ac:dyDescent="0.3">
      <c r="A48" s="359">
        <v>2</v>
      </c>
      <c r="B48" s="177" t="s">
        <v>5</v>
      </c>
      <c r="C48" s="178">
        <v>1</v>
      </c>
      <c r="D48" s="370">
        <v>89734</v>
      </c>
      <c r="E48" s="388">
        <v>179468</v>
      </c>
      <c r="G48" s="10" t="s">
        <v>255</v>
      </c>
    </row>
    <row r="49" spans="1:7" ht="31.2" x14ac:dyDescent="0.3">
      <c r="A49" s="359">
        <v>3</v>
      </c>
      <c r="B49" s="180" t="s">
        <v>28</v>
      </c>
      <c r="C49" s="178">
        <v>1</v>
      </c>
      <c r="D49" s="370">
        <v>50000</v>
      </c>
      <c r="E49" s="388">
        <f>C49*D49</f>
        <v>50000</v>
      </c>
      <c r="G49" s="10" t="s">
        <v>255</v>
      </c>
    </row>
    <row r="50" spans="1:7" ht="15.6" x14ac:dyDescent="0.3">
      <c r="A50" s="547">
        <v>4</v>
      </c>
      <c r="B50" s="177" t="s">
        <v>71</v>
      </c>
      <c r="C50" s="178"/>
      <c r="D50" s="370"/>
      <c r="E50" s="388">
        <f>SUM(E51:E52)</f>
        <v>157468.79999999999</v>
      </c>
    </row>
    <row r="51" spans="1:7" ht="31.2" x14ac:dyDescent="0.3">
      <c r="A51" s="548"/>
      <c r="B51" s="180" t="s">
        <v>79</v>
      </c>
      <c r="C51" s="178">
        <v>12</v>
      </c>
      <c r="D51" s="370">
        <v>3579.34</v>
      </c>
      <c r="E51" s="310">
        <f>C51*D51</f>
        <v>42952.08</v>
      </c>
      <c r="G51" s="10" t="s">
        <v>256</v>
      </c>
    </row>
    <row r="52" spans="1:7" ht="31.8" thickBot="1" x14ac:dyDescent="0.35">
      <c r="A52" s="549"/>
      <c r="B52" s="182" t="s">
        <v>80</v>
      </c>
      <c r="C52" s="178">
        <v>12</v>
      </c>
      <c r="D52" s="370">
        <v>9543.06</v>
      </c>
      <c r="E52" s="310">
        <f>C52*D52</f>
        <v>114516.72</v>
      </c>
      <c r="G52" s="10" t="s">
        <v>256</v>
      </c>
    </row>
    <row r="53" spans="1:7" ht="16.2" thickBot="1" x14ac:dyDescent="0.35">
      <c r="A53" s="83"/>
      <c r="B53" s="84" t="s">
        <v>98</v>
      </c>
      <c r="C53" s="22" t="s">
        <v>60</v>
      </c>
      <c r="D53" s="23" t="s">
        <v>61</v>
      </c>
      <c r="E53" s="390">
        <f>E50+E49+E48+E47</f>
        <v>439736.8</v>
      </c>
    </row>
    <row r="54" spans="1:7" ht="18" thickBot="1" x14ac:dyDescent="0.35">
      <c r="A54" s="21"/>
      <c r="B54" s="86" t="s">
        <v>235</v>
      </c>
      <c r="C54" s="87" t="s">
        <v>60</v>
      </c>
      <c r="D54" s="74" t="s">
        <v>61</v>
      </c>
      <c r="E54" s="391">
        <f>E53+E45</f>
        <v>3055032.1599999997</v>
      </c>
    </row>
    <row r="55" spans="1:7" x14ac:dyDescent="0.3">
      <c r="A55" s="5"/>
      <c r="B55" s="5"/>
      <c r="C55" s="5"/>
      <c r="D55" s="368"/>
      <c r="E55" s="5"/>
    </row>
    <row r="58" spans="1:7" x14ac:dyDescent="0.3">
      <c r="C58" s="162" t="s">
        <v>255</v>
      </c>
      <c r="D58" s="367"/>
      <c r="E58" s="366">
        <f>E8+E9+E10+E11+E12+E16+E31+E34+E48+E49</f>
        <v>1196091.3599999999</v>
      </c>
    </row>
    <row r="59" spans="1:7" x14ac:dyDescent="0.3">
      <c r="C59" s="163"/>
      <c r="D59" s="365"/>
      <c r="E59" s="363"/>
    </row>
    <row r="60" spans="1:7" x14ac:dyDescent="0.3">
      <c r="C60" s="163" t="s">
        <v>256</v>
      </c>
      <c r="D60" s="365"/>
      <c r="E60" s="363">
        <f>E36+E39+E41+E42+E51+E52</f>
        <v>441068.80000000005</v>
      </c>
    </row>
    <row r="61" spans="1:7" x14ac:dyDescent="0.3">
      <c r="C61" s="163"/>
      <c r="D61" s="365"/>
      <c r="E61" s="363"/>
    </row>
    <row r="62" spans="1:7" x14ac:dyDescent="0.3">
      <c r="C62" s="163" t="s">
        <v>257</v>
      </c>
      <c r="D62" s="365"/>
      <c r="E62" s="363">
        <f>E54-E58-E60</f>
        <v>1417871.9999999998</v>
      </c>
    </row>
    <row r="63" spans="1:7" x14ac:dyDescent="0.3">
      <c r="C63" s="165"/>
      <c r="D63" s="364"/>
      <c r="E63" s="363"/>
    </row>
    <row r="64" spans="1:7" x14ac:dyDescent="0.3">
      <c r="C64" s="166" t="s">
        <v>82</v>
      </c>
      <c r="D64" s="362"/>
      <c r="E64" s="361">
        <f>SUM(E58:E62)</f>
        <v>3055032.1599999997</v>
      </c>
    </row>
  </sheetData>
  <mergeCells count="9">
    <mergeCell ref="A46:E46"/>
    <mergeCell ref="A50:A52"/>
    <mergeCell ref="A2:E2"/>
    <mergeCell ref="A6:E6"/>
    <mergeCell ref="A17:A20"/>
    <mergeCell ref="A21:A25"/>
    <mergeCell ref="A28:A36"/>
    <mergeCell ref="A42:A44"/>
    <mergeCell ref="A7:A8"/>
  </mergeCells>
  <pageMargins left="0.7" right="0.7" top="0.75" bottom="0.75" header="0.3" footer="0.3"/>
  <pageSetup paperSize="9"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opLeftCell="A28" zoomScale="70" zoomScaleNormal="70" workbookViewId="0">
      <selection activeCell="E23" sqref="E23"/>
    </sheetView>
  </sheetViews>
  <sheetFormatPr defaultRowHeight="14.4" x14ac:dyDescent="0.3"/>
  <cols>
    <col min="1" max="1" width="4.33203125" customWidth="1"/>
    <col min="2" max="2" width="63.33203125" customWidth="1"/>
    <col min="3" max="3" width="13.44140625" customWidth="1"/>
    <col min="4" max="4" width="11.6640625" customWidth="1"/>
    <col min="5" max="5" width="21.88671875" customWidth="1"/>
    <col min="6" max="6" width="14.33203125" bestFit="1" customWidth="1"/>
    <col min="7" max="7" width="12.77734375" bestFit="1" customWidth="1"/>
  </cols>
  <sheetData>
    <row r="1" spans="1:7" ht="15.6" x14ac:dyDescent="0.3">
      <c r="A1" s="5"/>
      <c r="B1" s="5"/>
      <c r="C1" s="5"/>
      <c r="D1" s="5"/>
      <c r="E1" s="144" t="s">
        <v>92</v>
      </c>
    </row>
    <row r="2" spans="1:7" s="10" customFormat="1" ht="16.2" customHeight="1" x14ac:dyDescent="0.35">
      <c r="A2" s="542" t="s">
        <v>590</v>
      </c>
      <c r="B2" s="542"/>
      <c r="C2" s="542"/>
      <c r="D2" s="542"/>
      <c r="E2" s="542"/>
    </row>
    <row r="3" spans="1:7" s="10" customFormat="1" ht="16.95" customHeight="1" thickBot="1" x14ac:dyDescent="0.4">
      <c r="A3" s="26" t="s">
        <v>236</v>
      </c>
      <c r="B3" s="75"/>
      <c r="C3" s="75"/>
      <c r="D3" s="75"/>
      <c r="E3" s="75"/>
    </row>
    <row r="4" spans="1:7" s="10" customFormat="1" ht="47.4" thickBot="1" x14ac:dyDescent="0.35">
      <c r="A4" s="21" t="s">
        <v>62</v>
      </c>
      <c r="B4" s="23" t="s">
        <v>63</v>
      </c>
      <c r="C4" s="23" t="s">
        <v>64</v>
      </c>
      <c r="D4" s="23" t="s">
        <v>65</v>
      </c>
      <c r="E4" s="24" t="s">
        <v>246</v>
      </c>
    </row>
    <row r="5" spans="1:7" s="10" customFormat="1" ht="16.2" thickBot="1" x14ac:dyDescent="0.35">
      <c r="A5" s="21">
        <v>1</v>
      </c>
      <c r="B5" s="23">
        <v>2</v>
      </c>
      <c r="C5" s="23">
        <v>3</v>
      </c>
      <c r="D5" s="23">
        <v>4</v>
      </c>
      <c r="E5" s="24">
        <v>5</v>
      </c>
    </row>
    <row r="6" spans="1:7" s="10" customFormat="1" ht="16.2" x14ac:dyDescent="0.3">
      <c r="A6" s="550" t="s">
        <v>232</v>
      </c>
      <c r="B6" s="551"/>
      <c r="C6" s="551"/>
      <c r="D6" s="551"/>
      <c r="E6" s="552"/>
    </row>
    <row r="7" spans="1:7" ht="15.6" x14ac:dyDescent="0.3">
      <c r="A7" s="555">
        <v>1</v>
      </c>
      <c r="B7" s="188" t="s">
        <v>83</v>
      </c>
      <c r="C7" s="89"/>
      <c r="D7" s="313"/>
      <c r="E7" s="398">
        <f>SUM(E8:E11)</f>
        <v>29200</v>
      </c>
      <c r="F7" s="286"/>
      <c r="G7" s="286"/>
    </row>
    <row r="8" spans="1:7" ht="15.6" x14ac:dyDescent="0.3">
      <c r="A8" s="556"/>
      <c r="B8" s="81" t="s">
        <v>84</v>
      </c>
      <c r="C8" s="90">
        <v>250</v>
      </c>
      <c r="D8" s="314">
        <v>30</v>
      </c>
      <c r="E8" s="315">
        <f t="shared" ref="E8:E11" si="0">C8*D8</f>
        <v>7500</v>
      </c>
    </row>
    <row r="9" spans="1:7" ht="15.6" x14ac:dyDescent="0.3">
      <c r="A9" s="556"/>
      <c r="B9" s="81" t="s">
        <v>31</v>
      </c>
      <c r="C9" s="90">
        <v>50</v>
      </c>
      <c r="D9" s="314">
        <v>400</v>
      </c>
      <c r="E9" s="315">
        <f t="shared" si="0"/>
        <v>20000</v>
      </c>
    </row>
    <row r="10" spans="1:7" ht="15.6" x14ac:dyDescent="0.3">
      <c r="A10" s="556"/>
      <c r="B10" s="81" t="s">
        <v>32</v>
      </c>
      <c r="C10" s="90">
        <v>2</v>
      </c>
      <c r="D10" s="314">
        <v>100</v>
      </c>
      <c r="E10" s="315">
        <f t="shared" si="0"/>
        <v>200</v>
      </c>
    </row>
    <row r="11" spans="1:7" ht="15.6" x14ac:dyDescent="0.3">
      <c r="A11" s="557"/>
      <c r="B11" s="81" t="s">
        <v>33</v>
      </c>
      <c r="C11" s="90">
        <v>1</v>
      </c>
      <c r="D11" s="314">
        <v>1500</v>
      </c>
      <c r="E11" s="315">
        <f t="shared" si="0"/>
        <v>1500</v>
      </c>
    </row>
    <row r="12" spans="1:7" ht="15.6" x14ac:dyDescent="0.3">
      <c r="A12" s="555">
        <v>2</v>
      </c>
      <c r="B12" s="145" t="s">
        <v>85</v>
      </c>
      <c r="C12" s="91"/>
      <c r="D12" s="314"/>
      <c r="E12" s="399">
        <f>SUM(E13:E18)</f>
        <v>261000</v>
      </c>
    </row>
    <row r="13" spans="1:7" s="10" customFormat="1" ht="15.6" x14ac:dyDescent="0.3">
      <c r="A13" s="556"/>
      <c r="B13" s="92" t="s">
        <v>606</v>
      </c>
      <c r="C13" s="90">
        <v>1</v>
      </c>
      <c r="D13" s="314">
        <v>5000</v>
      </c>
      <c r="E13" s="315">
        <f t="shared" ref="E13:E24" si="1">C13*D13</f>
        <v>5000</v>
      </c>
    </row>
    <row r="14" spans="1:7" ht="15.6" x14ac:dyDescent="0.3">
      <c r="A14" s="556"/>
      <c r="B14" s="81" t="s">
        <v>86</v>
      </c>
      <c r="C14" s="90">
        <v>2</v>
      </c>
      <c r="D14" s="314">
        <v>10000</v>
      </c>
      <c r="E14" s="315">
        <f t="shared" si="1"/>
        <v>20000</v>
      </c>
    </row>
    <row r="15" spans="1:7" ht="15.6" x14ac:dyDescent="0.3">
      <c r="A15" s="556"/>
      <c r="B15" s="81" t="s">
        <v>221</v>
      </c>
      <c r="C15" s="90">
        <v>2</v>
      </c>
      <c r="D15" s="314">
        <v>10000</v>
      </c>
      <c r="E15" s="315">
        <f t="shared" si="1"/>
        <v>20000</v>
      </c>
    </row>
    <row r="16" spans="1:7" ht="15.6" x14ac:dyDescent="0.3">
      <c r="A16" s="556"/>
      <c r="B16" s="81" t="s">
        <v>274</v>
      </c>
      <c r="C16" s="90">
        <v>1</v>
      </c>
      <c r="D16" s="314">
        <v>6000</v>
      </c>
      <c r="E16" s="315">
        <f t="shared" si="1"/>
        <v>6000</v>
      </c>
    </row>
    <row r="17" spans="1:5" s="10" customFormat="1" ht="15.6" x14ac:dyDescent="0.3">
      <c r="A17" s="556"/>
      <c r="B17" s="81" t="s">
        <v>578</v>
      </c>
      <c r="C17" s="90">
        <v>3</v>
      </c>
      <c r="D17" s="314">
        <v>1000</v>
      </c>
      <c r="E17" s="315">
        <f t="shared" si="1"/>
        <v>3000</v>
      </c>
    </row>
    <row r="18" spans="1:5" ht="15.6" x14ac:dyDescent="0.3">
      <c r="A18" s="557"/>
      <c r="B18" s="81" t="s">
        <v>87</v>
      </c>
      <c r="C18" s="90">
        <v>15</v>
      </c>
      <c r="D18" s="314">
        <v>13800</v>
      </c>
      <c r="E18" s="315">
        <f t="shared" si="1"/>
        <v>207000</v>
      </c>
    </row>
    <row r="19" spans="1:5" s="10" customFormat="1" ht="15.6" x14ac:dyDescent="0.3">
      <c r="A19" s="184">
        <v>3</v>
      </c>
      <c r="B19" s="81" t="s">
        <v>275</v>
      </c>
      <c r="C19" s="90">
        <v>4</v>
      </c>
      <c r="D19" s="314">
        <v>25000</v>
      </c>
      <c r="E19" s="399">
        <f t="shared" si="1"/>
        <v>100000</v>
      </c>
    </row>
    <row r="20" spans="1:5" ht="31.2" x14ac:dyDescent="0.3">
      <c r="A20" s="79">
        <v>4</v>
      </c>
      <c r="B20" s="81" t="s">
        <v>8</v>
      </c>
      <c r="C20" s="90">
        <v>60</v>
      </c>
      <c r="D20" s="314">
        <v>1000</v>
      </c>
      <c r="E20" s="399">
        <f t="shared" si="1"/>
        <v>60000</v>
      </c>
    </row>
    <row r="21" spans="1:5" ht="15.6" x14ac:dyDescent="0.3">
      <c r="A21" s="79">
        <v>5</v>
      </c>
      <c r="B21" s="81" t="s">
        <v>11</v>
      </c>
      <c r="C21" s="90">
        <v>200</v>
      </c>
      <c r="D21" s="314">
        <v>2000</v>
      </c>
      <c r="E21" s="399">
        <f t="shared" si="1"/>
        <v>400000</v>
      </c>
    </row>
    <row r="22" spans="1:5" s="10" customFormat="1" ht="15.6" x14ac:dyDescent="0.3">
      <c r="A22" s="176">
        <v>6</v>
      </c>
      <c r="B22" s="81" t="s">
        <v>640</v>
      </c>
      <c r="C22" s="90">
        <v>15</v>
      </c>
      <c r="D22" s="314">
        <v>1200</v>
      </c>
      <c r="E22" s="399">
        <f t="shared" si="1"/>
        <v>18000</v>
      </c>
    </row>
    <row r="23" spans="1:5" s="10" customFormat="1" ht="15.6" x14ac:dyDescent="0.3">
      <c r="A23" s="176"/>
      <c r="B23" s="81" t="s">
        <v>656</v>
      </c>
      <c r="C23" s="90">
        <v>200</v>
      </c>
      <c r="D23" s="314">
        <v>700</v>
      </c>
      <c r="E23" s="399">
        <f t="shared" si="1"/>
        <v>140000</v>
      </c>
    </row>
    <row r="24" spans="1:5" s="10" customFormat="1" ht="18.600000000000001" customHeight="1" x14ac:dyDescent="0.3">
      <c r="A24" s="79">
        <v>7</v>
      </c>
      <c r="B24" s="81" t="s">
        <v>210</v>
      </c>
      <c r="C24" s="90">
        <v>68</v>
      </c>
      <c r="D24" s="314">
        <v>1500</v>
      </c>
      <c r="E24" s="399">
        <f t="shared" si="1"/>
        <v>102000</v>
      </c>
    </row>
    <row r="25" spans="1:5" ht="31.2" x14ac:dyDescent="0.3">
      <c r="A25" s="555">
        <v>8</v>
      </c>
      <c r="B25" s="189" t="s">
        <v>20</v>
      </c>
      <c r="C25" s="90"/>
      <c r="D25" s="314"/>
      <c r="E25" s="399">
        <f>SUM(E26:E30)</f>
        <v>51470</v>
      </c>
    </row>
    <row r="26" spans="1:5" ht="15.6" x14ac:dyDescent="0.3">
      <c r="A26" s="556"/>
      <c r="B26" s="81" t="s">
        <v>212</v>
      </c>
      <c r="C26" s="90">
        <v>70</v>
      </c>
      <c r="D26" s="314">
        <v>326</v>
      </c>
      <c r="E26" s="315">
        <f t="shared" ref="E26:E32" si="2">C26*D26</f>
        <v>22820</v>
      </c>
    </row>
    <row r="27" spans="1:5" ht="31.2" x14ac:dyDescent="0.3">
      <c r="A27" s="556"/>
      <c r="B27" s="81" t="s">
        <v>213</v>
      </c>
      <c r="C27" s="90">
        <v>2</v>
      </c>
      <c r="D27" s="314">
        <v>2300</v>
      </c>
      <c r="E27" s="315">
        <f t="shared" si="2"/>
        <v>4600</v>
      </c>
    </row>
    <row r="28" spans="1:5" ht="15.6" x14ac:dyDescent="0.3">
      <c r="A28" s="556"/>
      <c r="B28" s="81" t="s">
        <v>214</v>
      </c>
      <c r="C28" s="90">
        <v>2</v>
      </c>
      <c r="D28" s="314">
        <v>1500</v>
      </c>
      <c r="E28" s="315">
        <f t="shared" si="2"/>
        <v>3000</v>
      </c>
    </row>
    <row r="29" spans="1:5" s="10" customFormat="1" ht="15.6" x14ac:dyDescent="0.3">
      <c r="A29" s="556"/>
      <c r="B29" s="81" t="s">
        <v>586</v>
      </c>
      <c r="C29" s="90">
        <v>1</v>
      </c>
      <c r="D29" s="314">
        <v>20000</v>
      </c>
      <c r="E29" s="315">
        <f t="shared" si="2"/>
        <v>20000</v>
      </c>
    </row>
    <row r="30" spans="1:5" ht="15.6" x14ac:dyDescent="0.3">
      <c r="A30" s="557"/>
      <c r="B30" s="81" t="s">
        <v>215</v>
      </c>
      <c r="C30" s="90">
        <v>3</v>
      </c>
      <c r="D30" s="314">
        <v>350</v>
      </c>
      <c r="E30" s="315">
        <f t="shared" si="2"/>
        <v>1050</v>
      </c>
    </row>
    <row r="31" spans="1:5" ht="31.2" x14ac:dyDescent="0.3">
      <c r="A31" s="79">
        <v>9</v>
      </c>
      <c r="B31" s="353" t="s">
        <v>647</v>
      </c>
      <c r="C31" s="354">
        <v>12</v>
      </c>
      <c r="D31" s="355">
        <v>60590</v>
      </c>
      <c r="E31" s="400">
        <f t="shared" si="2"/>
        <v>727080</v>
      </c>
    </row>
    <row r="32" spans="1:5" ht="15.6" x14ac:dyDescent="0.3">
      <c r="A32" s="79">
        <v>10</v>
      </c>
      <c r="B32" s="81" t="s">
        <v>7</v>
      </c>
      <c r="C32" s="90">
        <v>12</v>
      </c>
      <c r="D32" s="314">
        <v>6611.67</v>
      </c>
      <c r="E32" s="399">
        <f t="shared" si="2"/>
        <v>79340.040000000008</v>
      </c>
    </row>
    <row r="33" spans="1:5" ht="15.6" x14ac:dyDescent="0.3">
      <c r="A33" s="555">
        <v>11</v>
      </c>
      <c r="B33" s="145" t="s">
        <v>88</v>
      </c>
      <c r="C33" s="91"/>
      <c r="D33" s="314"/>
      <c r="E33" s="399">
        <f>SUM(E34:E45)</f>
        <v>398501.5</v>
      </c>
    </row>
    <row r="34" spans="1:5" ht="31.2" x14ac:dyDescent="0.3">
      <c r="A34" s="556"/>
      <c r="B34" s="81" t="s">
        <v>566</v>
      </c>
      <c r="C34" s="90">
        <v>1</v>
      </c>
      <c r="D34" s="314">
        <v>6000</v>
      </c>
      <c r="E34" s="315">
        <v>7050</v>
      </c>
    </row>
    <row r="35" spans="1:5" ht="15.6" x14ac:dyDescent="0.3">
      <c r="A35" s="556"/>
      <c r="B35" s="81" t="s">
        <v>6</v>
      </c>
      <c r="C35" s="90">
        <v>7</v>
      </c>
      <c r="D35" s="314">
        <v>1800</v>
      </c>
      <c r="E35" s="315">
        <f t="shared" ref="E35:E45" si="3">C35*D35</f>
        <v>12600</v>
      </c>
    </row>
    <row r="36" spans="1:5" ht="31.2" x14ac:dyDescent="0.3">
      <c r="A36" s="556"/>
      <c r="B36" s="81" t="s">
        <v>9</v>
      </c>
      <c r="C36" s="90">
        <v>12</v>
      </c>
      <c r="D36" s="314">
        <v>1100</v>
      </c>
      <c r="E36" s="315">
        <f t="shared" si="3"/>
        <v>13200</v>
      </c>
    </row>
    <row r="37" spans="1:5" ht="15.6" x14ac:dyDescent="0.3">
      <c r="A37" s="556"/>
      <c r="B37" s="81" t="s">
        <v>12</v>
      </c>
      <c r="C37" s="90">
        <v>12</v>
      </c>
      <c r="D37" s="314">
        <v>1000</v>
      </c>
      <c r="E37" s="315">
        <f t="shared" si="3"/>
        <v>12000</v>
      </c>
    </row>
    <row r="38" spans="1:5" s="10" customFormat="1" ht="31.2" x14ac:dyDescent="0.3">
      <c r="A38" s="556"/>
      <c r="B38" s="81" t="s">
        <v>581</v>
      </c>
      <c r="C38" s="90">
        <v>1</v>
      </c>
      <c r="D38" s="314">
        <v>80000</v>
      </c>
      <c r="E38" s="315">
        <f t="shared" si="3"/>
        <v>80000</v>
      </c>
    </row>
    <row r="39" spans="1:5" s="10" customFormat="1" ht="15.6" x14ac:dyDescent="0.3">
      <c r="A39" s="556"/>
      <c r="B39" s="81" t="s">
        <v>582</v>
      </c>
      <c r="C39" s="90">
        <v>1</v>
      </c>
      <c r="D39" s="314">
        <v>70000</v>
      </c>
      <c r="E39" s="315">
        <f t="shared" si="3"/>
        <v>70000</v>
      </c>
    </row>
    <row r="40" spans="1:5" s="10" customFormat="1" ht="15.6" x14ac:dyDescent="0.3">
      <c r="A40" s="556"/>
      <c r="B40" s="81" t="s">
        <v>584</v>
      </c>
      <c r="C40" s="90">
        <v>1</v>
      </c>
      <c r="D40" s="314">
        <v>7447.5</v>
      </c>
      <c r="E40" s="315">
        <f t="shared" si="3"/>
        <v>7447.5</v>
      </c>
    </row>
    <row r="41" spans="1:5" s="10" customFormat="1" ht="31.2" x14ac:dyDescent="0.3">
      <c r="A41" s="556"/>
      <c r="B41" s="81" t="s">
        <v>580</v>
      </c>
      <c r="C41" s="90">
        <v>1</v>
      </c>
      <c r="D41" s="314">
        <v>16104</v>
      </c>
      <c r="E41" s="315">
        <f t="shared" si="3"/>
        <v>16104</v>
      </c>
    </row>
    <row r="42" spans="1:5" s="10" customFormat="1" ht="31.2" x14ac:dyDescent="0.3">
      <c r="A42" s="556"/>
      <c r="B42" s="81" t="s">
        <v>579</v>
      </c>
      <c r="C42" s="90">
        <v>1</v>
      </c>
      <c r="D42" s="314">
        <v>12600</v>
      </c>
      <c r="E42" s="315">
        <f t="shared" si="3"/>
        <v>12600</v>
      </c>
    </row>
    <row r="43" spans="1:5" s="10" customFormat="1" ht="31.2" x14ac:dyDescent="0.3">
      <c r="A43" s="556"/>
      <c r="B43" s="81" t="s">
        <v>648</v>
      </c>
      <c r="C43" s="90">
        <v>1</v>
      </c>
      <c r="D43" s="314">
        <v>100000</v>
      </c>
      <c r="E43" s="315">
        <f t="shared" si="3"/>
        <v>100000</v>
      </c>
    </row>
    <row r="44" spans="1:5" s="10" customFormat="1" ht="31.2" x14ac:dyDescent="0.3">
      <c r="A44" s="556"/>
      <c r="B44" s="81" t="s">
        <v>583</v>
      </c>
      <c r="C44" s="90">
        <v>1</v>
      </c>
      <c r="D44" s="314">
        <v>50000</v>
      </c>
      <c r="E44" s="315">
        <v>65000</v>
      </c>
    </row>
    <row r="45" spans="1:5" ht="31.2" x14ac:dyDescent="0.3">
      <c r="A45" s="556"/>
      <c r="B45" s="81" t="s">
        <v>238</v>
      </c>
      <c r="C45" s="90">
        <v>1</v>
      </c>
      <c r="D45" s="314">
        <v>2500</v>
      </c>
      <c r="E45" s="315">
        <f t="shared" si="3"/>
        <v>2500</v>
      </c>
    </row>
    <row r="46" spans="1:5" ht="78.599999999999994" customHeight="1" x14ac:dyDescent="0.3">
      <c r="A46" s="79">
        <v>12</v>
      </c>
      <c r="B46" s="81" t="s">
        <v>211</v>
      </c>
      <c r="C46" s="90">
        <v>2</v>
      </c>
      <c r="D46" s="314">
        <v>38848.019999999997</v>
      </c>
      <c r="E46" s="399">
        <f t="shared" ref="E46" si="4">C46*D46</f>
        <v>77696.039999999994</v>
      </c>
    </row>
    <row r="47" spans="1:5" ht="31.2" x14ac:dyDescent="0.3">
      <c r="A47" s="79">
        <v>13</v>
      </c>
      <c r="B47" s="81" t="s">
        <v>106</v>
      </c>
      <c r="C47" s="90">
        <v>5241</v>
      </c>
      <c r="D47" s="314">
        <v>16.899999999999999</v>
      </c>
      <c r="E47" s="399">
        <v>88616</v>
      </c>
    </row>
    <row r="48" spans="1:5" ht="46.8" x14ac:dyDescent="0.3">
      <c r="A48" s="79">
        <v>14</v>
      </c>
      <c r="B48" s="81" t="s">
        <v>105</v>
      </c>
      <c r="C48" s="90">
        <v>4</v>
      </c>
      <c r="D48" s="314">
        <v>5000</v>
      </c>
      <c r="E48" s="399">
        <v>20000</v>
      </c>
    </row>
    <row r="49" spans="1:6" ht="16.2" thickBot="1" x14ac:dyDescent="0.35">
      <c r="A49" s="79">
        <v>15</v>
      </c>
      <c r="B49" s="353" t="s">
        <v>26</v>
      </c>
      <c r="C49" s="354">
        <v>17</v>
      </c>
      <c r="D49" s="355">
        <v>10402.540000000001</v>
      </c>
      <c r="E49" s="400">
        <f>D49*C49</f>
        <v>176843.18000000002</v>
      </c>
    </row>
    <row r="50" spans="1:6" ht="18.600000000000001" thickBot="1" x14ac:dyDescent="0.35">
      <c r="A50" s="83"/>
      <c r="B50" s="84" t="s">
        <v>98</v>
      </c>
      <c r="C50" s="187" t="s">
        <v>60</v>
      </c>
      <c r="D50" s="187" t="s">
        <v>61</v>
      </c>
      <c r="E50" s="312">
        <f>E49+E48+E47+E46+E33+E32+E31+E25+E24+E21+E20+E19+E12+E7+E22</f>
        <v>2589746.7599999998</v>
      </c>
      <c r="F50" s="286"/>
    </row>
    <row r="51" spans="1:6" x14ac:dyDescent="0.3">
      <c r="A51" s="5"/>
      <c r="B51" s="5"/>
      <c r="C51" s="5"/>
      <c r="D51" s="5"/>
      <c r="E51" s="5"/>
    </row>
  </sheetData>
  <mergeCells count="6">
    <mergeCell ref="A33:A45"/>
    <mergeCell ref="A2:E2"/>
    <mergeCell ref="A6:E6"/>
    <mergeCell ref="A7:A11"/>
    <mergeCell ref="A12:A18"/>
    <mergeCell ref="A25:A30"/>
  </mergeCells>
  <pageMargins left="0.7" right="0.7" top="0.75" bottom="0.75" header="0.3" footer="0.3"/>
  <pageSetup paperSize="9" scale="6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workbookViewId="0">
      <selection sqref="A1:E8"/>
    </sheetView>
  </sheetViews>
  <sheetFormatPr defaultRowHeight="14.4" x14ac:dyDescent="0.3"/>
  <cols>
    <col min="1" max="1" width="5" customWidth="1"/>
    <col min="2" max="2" width="57.33203125" customWidth="1"/>
    <col min="3" max="3" width="15.44140625" customWidth="1"/>
    <col min="4" max="4" width="12.44140625" customWidth="1"/>
    <col min="5" max="5" width="17.5546875" customWidth="1"/>
  </cols>
  <sheetData>
    <row r="1" spans="1:5" x14ac:dyDescent="0.3">
      <c r="E1" s="152" t="s">
        <v>231</v>
      </c>
    </row>
    <row r="2" spans="1:5" ht="18" x14ac:dyDescent="0.35">
      <c r="A2" s="542" t="s">
        <v>591</v>
      </c>
      <c r="B2" s="542"/>
      <c r="C2" s="542"/>
      <c r="D2" s="542"/>
      <c r="E2" s="542"/>
    </row>
    <row r="3" spans="1:5" ht="18.600000000000001" thickBot="1" x14ac:dyDescent="0.4">
      <c r="A3" s="26" t="s">
        <v>247</v>
      </c>
      <c r="B3" s="141"/>
      <c r="C3" s="141"/>
      <c r="D3" s="141"/>
      <c r="E3" s="141"/>
    </row>
    <row r="4" spans="1:5" ht="31.8" thickBot="1" x14ac:dyDescent="0.35">
      <c r="A4" s="21" t="s">
        <v>62</v>
      </c>
      <c r="B4" s="23" t="s">
        <v>63</v>
      </c>
      <c r="C4" s="23" t="s">
        <v>64</v>
      </c>
      <c r="D4" s="23" t="s">
        <v>65</v>
      </c>
      <c r="E4" s="24" t="s">
        <v>246</v>
      </c>
    </row>
    <row r="5" spans="1:5" ht="16.2" thickBot="1" x14ac:dyDescent="0.35">
      <c r="A5" s="21">
        <v>1</v>
      </c>
      <c r="B5" s="23">
        <v>2</v>
      </c>
      <c r="C5" s="23">
        <v>3</v>
      </c>
      <c r="D5" s="23">
        <v>4</v>
      </c>
      <c r="E5" s="24">
        <v>5</v>
      </c>
    </row>
    <row r="6" spans="1:5" x14ac:dyDescent="0.3">
      <c r="A6" s="153"/>
      <c r="B6" s="2"/>
      <c r="C6" s="2"/>
      <c r="D6" s="2"/>
      <c r="E6" s="154"/>
    </row>
    <row r="7" spans="1:5" ht="31.8" thickBot="1" x14ac:dyDescent="0.35">
      <c r="A7" s="143">
        <v>1</v>
      </c>
      <c r="B7" s="85" t="s">
        <v>10</v>
      </c>
      <c r="C7" s="155">
        <v>5</v>
      </c>
      <c r="D7" s="156">
        <v>8500</v>
      </c>
      <c r="E7" s="157">
        <f>C7*D7</f>
        <v>42500</v>
      </c>
    </row>
    <row r="8" spans="1:5" ht="15" thickBot="1" x14ac:dyDescent="0.35">
      <c r="A8" s="158"/>
      <c r="B8" s="159" t="s">
        <v>98</v>
      </c>
      <c r="C8" s="433" t="s">
        <v>61</v>
      </c>
      <c r="D8" s="433" t="s">
        <v>61</v>
      </c>
      <c r="E8" s="160">
        <f>SUM(E7)</f>
        <v>42500</v>
      </c>
    </row>
  </sheetData>
  <mergeCells count="1">
    <mergeCell ref="A2:E2"/>
  </mergeCells>
  <pageMargins left="0.7" right="0.7" top="0.75" bottom="0.75" header="0.3" footer="0.3"/>
  <pageSetup paperSize="9" scale="8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zoomScale="80" zoomScaleNormal="80" workbookViewId="0">
      <selection activeCell="B1" sqref="A1:E9"/>
    </sheetView>
  </sheetViews>
  <sheetFormatPr defaultColWidth="9.109375" defaultRowHeight="14.4" x14ac:dyDescent="0.3"/>
  <cols>
    <col min="1" max="1" width="4.33203125" style="10" customWidth="1"/>
    <col min="2" max="2" width="63.33203125" style="10" customWidth="1"/>
    <col min="3" max="3" width="13.44140625" style="10" customWidth="1"/>
    <col min="4" max="4" width="14.21875" style="10" customWidth="1"/>
    <col min="5" max="5" width="21.88671875" style="10" customWidth="1"/>
    <col min="6" max="16384" width="9.109375" style="10"/>
  </cols>
  <sheetData>
    <row r="1" spans="1:5" ht="15.6" x14ac:dyDescent="0.3">
      <c r="A1" s="5"/>
      <c r="B1" s="5"/>
      <c r="C1" s="5"/>
      <c r="D1" s="5"/>
      <c r="E1" s="175" t="s">
        <v>241</v>
      </c>
    </row>
    <row r="2" spans="1:5" ht="16.2" customHeight="1" x14ac:dyDescent="0.35">
      <c r="A2" s="542" t="s">
        <v>592</v>
      </c>
      <c r="B2" s="542"/>
      <c r="C2" s="542"/>
      <c r="D2" s="542"/>
      <c r="E2" s="542"/>
    </row>
    <row r="3" spans="1:5" ht="16.95" customHeight="1" thickBot="1" x14ac:dyDescent="0.4">
      <c r="A3" s="26" t="s">
        <v>265</v>
      </c>
      <c r="B3" s="174"/>
      <c r="C3" s="174"/>
      <c r="D3" s="174"/>
      <c r="E3" s="174"/>
    </row>
    <row r="4" spans="1:5" ht="47.4" thickBot="1" x14ac:dyDescent="0.35">
      <c r="A4" s="21" t="s">
        <v>62</v>
      </c>
      <c r="B4" s="23" t="s">
        <v>63</v>
      </c>
      <c r="C4" s="23" t="s">
        <v>64</v>
      </c>
      <c r="D4" s="23" t="s">
        <v>65</v>
      </c>
      <c r="E4" s="24" t="s">
        <v>246</v>
      </c>
    </row>
    <row r="5" spans="1:5" ht="16.5" thickBot="1" x14ac:dyDescent="0.3">
      <c r="A5" s="21">
        <v>1</v>
      </c>
      <c r="B5" s="23">
        <v>2</v>
      </c>
      <c r="C5" s="23">
        <v>3</v>
      </c>
      <c r="D5" s="23">
        <v>4</v>
      </c>
      <c r="E5" s="24">
        <v>5</v>
      </c>
    </row>
    <row r="6" spans="1:5" ht="16.2" x14ac:dyDescent="0.3">
      <c r="A6" s="558" t="s">
        <v>234</v>
      </c>
      <c r="B6" s="559"/>
      <c r="C6" s="559"/>
      <c r="D6" s="559"/>
      <c r="E6" s="560"/>
    </row>
    <row r="7" spans="1:5" ht="31.2" x14ac:dyDescent="0.3">
      <c r="A7" s="64">
        <v>1</v>
      </c>
      <c r="B7" s="65" t="s">
        <v>618</v>
      </c>
      <c r="C7" s="481">
        <v>1</v>
      </c>
      <c r="D7" s="484">
        <v>100000</v>
      </c>
      <c r="E7" s="485">
        <f>D7</f>
        <v>100000</v>
      </c>
    </row>
    <row r="8" spans="1:5" ht="16.2" thickBot="1" x14ac:dyDescent="0.35">
      <c r="A8" s="176">
        <v>2</v>
      </c>
      <c r="B8" s="92" t="s">
        <v>605</v>
      </c>
      <c r="C8" s="482">
        <v>1</v>
      </c>
      <c r="D8" s="483">
        <v>200000</v>
      </c>
      <c r="E8" s="486">
        <f>D8</f>
        <v>200000</v>
      </c>
    </row>
    <row r="9" spans="1:5" ht="16.2" thickBot="1" x14ac:dyDescent="0.35">
      <c r="A9" s="83"/>
      <c r="B9" s="84" t="s">
        <v>98</v>
      </c>
      <c r="C9" s="23" t="s">
        <v>60</v>
      </c>
      <c r="D9" s="23" t="s">
        <v>61</v>
      </c>
      <c r="E9" s="183">
        <f>E8+E7</f>
        <v>300000</v>
      </c>
    </row>
    <row r="10" spans="1:5" ht="15" x14ac:dyDescent="0.25">
      <c r="A10" s="5"/>
      <c r="B10" s="5"/>
      <c r="C10" s="5"/>
      <c r="D10" s="5"/>
      <c r="E10" s="5"/>
    </row>
  </sheetData>
  <mergeCells count="2">
    <mergeCell ref="A6:E6"/>
    <mergeCell ref="A2:E2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16</vt:i4>
      </vt:variant>
    </vt:vector>
  </HeadingPairs>
  <TitlesOfParts>
    <vt:vector size="32" baseType="lpstr">
      <vt:lpstr>ГЗ</vt:lpstr>
      <vt:lpstr>ПДД (2)</vt:lpstr>
      <vt:lpstr>221</vt:lpstr>
      <vt:lpstr>КВР 247 КОСГУ 223 </vt:lpstr>
      <vt:lpstr>223</vt:lpstr>
      <vt:lpstr>225 </vt:lpstr>
      <vt:lpstr>226</vt:lpstr>
      <vt:lpstr>227</vt:lpstr>
      <vt:lpstr>228</vt:lpstr>
      <vt:lpstr>290 </vt:lpstr>
      <vt:lpstr>310</vt:lpstr>
      <vt:lpstr>341</vt:lpstr>
      <vt:lpstr>343</vt:lpstr>
      <vt:lpstr>344</vt:lpstr>
      <vt:lpstr>345</vt:lpstr>
      <vt:lpstr>346</vt:lpstr>
      <vt:lpstr>'221'!Область_печати</vt:lpstr>
      <vt:lpstr>'223'!Область_печати</vt:lpstr>
      <vt:lpstr>'225 '!Область_печати</vt:lpstr>
      <vt:lpstr>'226'!Область_печати</vt:lpstr>
      <vt:lpstr>'227'!Область_печати</vt:lpstr>
      <vt:lpstr>'228'!Область_печати</vt:lpstr>
      <vt:lpstr>'290 '!Область_печати</vt:lpstr>
      <vt:lpstr>'310'!Область_печати</vt:lpstr>
      <vt:lpstr>'341'!Область_печати</vt:lpstr>
      <vt:lpstr>'343'!Область_печати</vt:lpstr>
      <vt:lpstr>'344'!Область_печати</vt:lpstr>
      <vt:lpstr>'345'!Область_печати</vt:lpstr>
      <vt:lpstr>'346'!Область_печати</vt:lpstr>
      <vt:lpstr>ГЗ!Область_печати</vt:lpstr>
      <vt:lpstr>'КВР 247 КОСГУ 223 '!Область_печати</vt:lpstr>
      <vt:lpstr>'ПДД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2021-01-10T07:38:39Z</dcterms:modified>
</cp:coreProperties>
</file>